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 vaio\Dropbox\Aulas Graduação UFPE 2013.2\Contabilidade Societária 1\Aula 1\"/>
    </mc:Choice>
  </mc:AlternateContent>
  <bookViews>
    <workbookView xWindow="0" yWindow="0" windowWidth="12240" windowHeight="7755" tabRatio="837" activeTab="9"/>
  </bookViews>
  <sheets>
    <sheet name="Lanç x1" sheetId="1" r:id="rId1"/>
    <sheet name="Controle do Imobilizado" sheetId="33" r:id="rId2"/>
    <sheet name="Raz x1 " sheetId="35" r:id="rId3"/>
    <sheet name="EST x1" sheetId="2" r:id="rId4"/>
    <sheet name="RAZONETES Cecilia" sheetId="17" state="hidden" r:id="rId5"/>
    <sheet name="DRE x1" sheetId="34" r:id="rId6"/>
    <sheet name="RESERVAS e DIVIDENDOS x1" sheetId="5" r:id="rId7"/>
    <sheet name="BALANÇO x2" sheetId="19" state="hidden" r:id="rId8"/>
    <sheet name="BP  " sheetId="36" r:id="rId9"/>
    <sheet name="DMPL x1" sheetId="8" r:id="rId10"/>
    <sheet name="AVP x2" sheetId="18" r:id="rId11"/>
    <sheet name="FC PT 1 " sheetId="29" r:id="rId12"/>
    <sheet name="FC PT 2 (2)" sheetId="30" r:id="rId13"/>
    <sheet name="FC PT 3 (2)" sheetId="31" r:id="rId14"/>
    <sheet name="FC PT 4 (2)" sheetId="32" r:id="rId15"/>
    <sheet name="BP (2)" sheetId="23" state="hidden" r:id="rId16"/>
    <sheet name="FC PT 1" sheetId="24" state="hidden" r:id="rId17"/>
    <sheet name="FC PT 2" sheetId="25" state="hidden" r:id="rId18"/>
    <sheet name="FC PT 3" sheetId="26" state="hidden" r:id="rId19"/>
    <sheet name="FC PT 4" sheetId="27" state="hidden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4">'RAZONETES Cecilia'!$A$52:$X$102</definedName>
  </definedNames>
  <calcPr calcId="152511"/>
</workbook>
</file>

<file path=xl/calcChain.xml><?xml version="1.0" encoding="utf-8"?>
<calcChain xmlns="http://schemas.openxmlformats.org/spreadsheetml/2006/main">
  <c r="E90" i="1" l="1"/>
  <c r="B99" i="1" s="1"/>
  <c r="C99" i="1" s="1"/>
  <c r="C101" i="1" l="1"/>
  <c r="D99" i="1"/>
  <c r="E101" i="1" s="1"/>
  <c r="F42" i="36"/>
  <c r="G101" i="1" l="1"/>
  <c r="H57" i="1"/>
  <c r="H56" i="1"/>
  <c r="F22" i="36" l="1"/>
  <c r="P22" i="36"/>
  <c r="P23" i="36" s="1"/>
  <c r="P43" i="36" s="1"/>
  <c r="P42" i="36"/>
  <c r="F43" i="36" l="1"/>
  <c r="C66" i="35"/>
  <c r="D63" i="35"/>
  <c r="D62" i="35"/>
  <c r="D61" i="35"/>
  <c r="BB57" i="35"/>
  <c r="AW57" i="35"/>
  <c r="AR57" i="35"/>
  <c r="AM57" i="35"/>
  <c r="AH57" i="35"/>
  <c r="AC57" i="35"/>
  <c r="X57" i="35"/>
  <c r="S57" i="35"/>
  <c r="N57" i="35"/>
  <c r="I57" i="35"/>
  <c r="D57" i="35"/>
  <c r="AB49" i="35"/>
  <c r="AB57" i="35" s="1"/>
  <c r="AB58" i="35" s="1"/>
  <c r="AC58" i="35" s="1"/>
  <c r="C75" i="35" s="1"/>
  <c r="M49" i="35"/>
  <c r="H49" i="35"/>
  <c r="BA48" i="35"/>
  <c r="AL48" i="35"/>
  <c r="M48" i="35"/>
  <c r="H48" i="35"/>
  <c r="BA47" i="35"/>
  <c r="AV47" i="35"/>
  <c r="AV57" i="35" s="1"/>
  <c r="AV58" i="35" s="1"/>
  <c r="AW58" i="35" s="1"/>
  <c r="C77" i="35" s="1"/>
  <c r="AQ47" i="35"/>
  <c r="AQ57" i="35" s="1"/>
  <c r="AL47" i="35"/>
  <c r="AG47" i="35"/>
  <c r="AG57" i="35" s="1"/>
  <c r="AG58" i="35" s="1"/>
  <c r="AH58" i="35" s="1"/>
  <c r="C73" i="35" s="1"/>
  <c r="W47" i="35"/>
  <c r="W57" i="35" s="1"/>
  <c r="R47" i="35"/>
  <c r="R57" i="35" s="1"/>
  <c r="R58" i="35" s="1"/>
  <c r="S58" i="35" s="1"/>
  <c r="M47" i="35"/>
  <c r="H47" i="35"/>
  <c r="H57" i="35" s="1"/>
  <c r="H58" i="35" s="1"/>
  <c r="C47" i="35"/>
  <c r="C57" i="35" s="1"/>
  <c r="W43" i="35"/>
  <c r="M43" i="35"/>
  <c r="H43" i="35"/>
  <c r="C43" i="35"/>
  <c r="R38" i="35"/>
  <c r="R37" i="35"/>
  <c r="X36" i="35"/>
  <c r="X43" i="35" s="1"/>
  <c r="R36" i="35"/>
  <c r="N36" i="35"/>
  <c r="N43" i="35" s="1"/>
  <c r="I36" i="35"/>
  <c r="I43" i="35" s="1"/>
  <c r="D36" i="35"/>
  <c r="D43" i="35" s="1"/>
  <c r="AQ32" i="35"/>
  <c r="AL32" i="35"/>
  <c r="AG32" i="35"/>
  <c r="AB32" i="35"/>
  <c r="N32" i="35"/>
  <c r="N33" i="35" s="1"/>
  <c r="M32" i="35"/>
  <c r="I32" i="35"/>
  <c r="H32" i="35"/>
  <c r="D32" i="35"/>
  <c r="D33" i="35" s="1"/>
  <c r="C32" i="35"/>
  <c r="S27" i="35"/>
  <c r="S26" i="35"/>
  <c r="AR25" i="35"/>
  <c r="AR32" i="35" s="1"/>
  <c r="AR33" i="35" s="1"/>
  <c r="AM25" i="35"/>
  <c r="AM32" i="35" s="1"/>
  <c r="AM33" i="35" s="1"/>
  <c r="AH25" i="35"/>
  <c r="AH32" i="35" s="1"/>
  <c r="AH33" i="35" s="1"/>
  <c r="AC25" i="35"/>
  <c r="AC32" i="35" s="1"/>
  <c r="AC33" i="35" s="1"/>
  <c r="X25" i="35"/>
  <c r="X32" i="35" s="1"/>
  <c r="W25" i="35"/>
  <c r="W32" i="35" s="1"/>
  <c r="S25" i="35"/>
  <c r="AR21" i="35"/>
  <c r="AM21" i="35"/>
  <c r="AL21" i="35"/>
  <c r="AG21" i="35"/>
  <c r="AC21" i="35"/>
  <c r="X21" i="35"/>
  <c r="S21" i="35"/>
  <c r="N21" i="35"/>
  <c r="D12" i="35"/>
  <c r="D11" i="35"/>
  <c r="D10" i="35"/>
  <c r="D9" i="35"/>
  <c r="D8" i="35"/>
  <c r="D7" i="35"/>
  <c r="AH6" i="35"/>
  <c r="D6" i="35"/>
  <c r="C6" i="35"/>
  <c r="AH5" i="35"/>
  <c r="I5" i="35"/>
  <c r="D5" i="35"/>
  <c r="C5" i="35"/>
  <c r="BA4" i="35"/>
  <c r="AH4" i="35"/>
  <c r="I4" i="35"/>
  <c r="H4" i="35"/>
  <c r="D4" i="35"/>
  <c r="C4" i="35"/>
  <c r="BA3" i="35"/>
  <c r="AW3" i="35"/>
  <c r="AW21" i="35" s="1"/>
  <c r="AV3" i="35"/>
  <c r="AV21" i="35" s="1"/>
  <c r="AQ3" i="35"/>
  <c r="AQ21" i="35" s="1"/>
  <c r="AH3" i="35"/>
  <c r="AB3" i="35"/>
  <c r="AB21" i="35" s="1"/>
  <c r="AB22" i="35" s="1"/>
  <c r="W3" i="35"/>
  <c r="W21" i="35" s="1"/>
  <c r="W22" i="35" s="1"/>
  <c r="R3" i="35"/>
  <c r="R21" i="35" s="1"/>
  <c r="R22" i="35" s="1"/>
  <c r="M3" i="35"/>
  <c r="M21" i="35" s="1"/>
  <c r="M22" i="35" s="1"/>
  <c r="I3" i="35"/>
  <c r="H3" i="35"/>
  <c r="D3" i="35"/>
  <c r="C3" i="35"/>
  <c r="S32" i="35" l="1"/>
  <c r="I33" i="35"/>
  <c r="AQ22" i="35"/>
  <c r="AL22" i="35"/>
  <c r="AL57" i="35"/>
  <c r="AL58" i="35" s="1"/>
  <c r="AM58" i="35" s="1"/>
  <c r="C74" i="35" s="1"/>
  <c r="AQ58" i="35"/>
  <c r="AR58" i="35" s="1"/>
  <c r="C76" i="35" s="1"/>
  <c r="BA57" i="35"/>
  <c r="BA58" i="35" s="1"/>
  <c r="BB58" i="35" s="1"/>
  <c r="C78" i="35" s="1"/>
  <c r="I21" i="35"/>
  <c r="C58" i="35"/>
  <c r="D58" i="35" s="1"/>
  <c r="C72" i="35" s="1"/>
  <c r="W58" i="35"/>
  <c r="X58" i="35" s="1"/>
  <c r="M57" i="35"/>
  <c r="M58" i="35" s="1"/>
  <c r="N58" i="35" s="1"/>
  <c r="C71" i="35" s="1"/>
  <c r="AH21" i="35"/>
  <c r="AG22" i="35" s="1"/>
  <c r="BA21" i="35"/>
  <c r="BB21" i="35" s="1"/>
  <c r="BA22" i="35" s="1"/>
  <c r="BB22" i="35" s="1"/>
  <c r="W33" i="35"/>
  <c r="C21" i="35"/>
  <c r="D21" i="35"/>
  <c r="R43" i="35"/>
  <c r="H21" i="35"/>
  <c r="AV22" i="35"/>
  <c r="D66" i="35"/>
  <c r="D67" i="35" s="1"/>
  <c r="C67" i="35" s="1"/>
  <c r="D70" i="35" s="1"/>
  <c r="D79" i="35" s="1"/>
  <c r="R25" i="35"/>
  <c r="R32" i="35" s="1"/>
  <c r="S33" i="35" s="1"/>
  <c r="I58" i="35"/>
  <c r="C70" i="35"/>
  <c r="E154" i="1"/>
  <c r="E155" i="1" s="1"/>
  <c r="F14" i="8"/>
  <c r="E16" i="8"/>
  <c r="G12" i="8"/>
  <c r="G14" i="8"/>
  <c r="B10" i="8"/>
  <c r="G7" i="8"/>
  <c r="F35" i="34"/>
  <c r="F37" i="34" s="1"/>
  <c r="F21" i="34"/>
  <c r="F27" i="34"/>
  <c r="F26" i="34"/>
  <c r="F22" i="34"/>
  <c r="F25" i="34"/>
  <c r="F17" i="34"/>
  <c r="F6" i="34"/>
  <c r="F4" i="34"/>
  <c r="H22" i="35" l="1"/>
  <c r="B16" i="8"/>
  <c r="C79" i="35"/>
  <c r="D80" i="35" s="1"/>
  <c r="C22" i="35"/>
  <c r="F7" i="34"/>
  <c r="F16" i="34" s="1"/>
  <c r="F18" i="34" s="1"/>
  <c r="F32" i="34" s="1"/>
  <c r="F39" i="34" s="1"/>
  <c r="C80" i="35" l="1"/>
  <c r="C81" i="35"/>
  <c r="F42" i="34"/>
  <c r="E134" i="1" s="1"/>
  <c r="E135" i="1" s="1"/>
  <c r="F41" i="34"/>
  <c r="E131" i="1" s="1"/>
  <c r="E132" i="1" s="1"/>
  <c r="D82" i="35"/>
  <c r="C82" i="35" l="1"/>
  <c r="D83" i="35" s="1"/>
  <c r="C83" i="35" s="1"/>
  <c r="S36" i="35" s="1"/>
  <c r="S43" i="35" s="1"/>
  <c r="S44" i="35" s="1"/>
  <c r="R44" i="35" s="1"/>
  <c r="F44" i="34"/>
  <c r="E139" i="1" l="1"/>
  <c r="E140" i="1" s="1"/>
  <c r="F5" i="5"/>
  <c r="F11" i="8"/>
  <c r="G11" i="8" l="1"/>
  <c r="E112" i="1" l="1"/>
  <c r="E95" i="1"/>
  <c r="F99" i="1"/>
  <c r="F101" i="1" s="1"/>
  <c r="E86" i="1"/>
  <c r="E76" i="1"/>
  <c r="E82" i="1" s="1"/>
  <c r="E83" i="1" s="1"/>
  <c r="E65" i="1"/>
  <c r="E66" i="1" s="1"/>
  <c r="E60" i="1"/>
  <c r="K17" i="2"/>
  <c r="K19" i="2" s="1"/>
  <c r="E54" i="1"/>
  <c r="E55" i="1" s="1"/>
  <c r="E52" i="1"/>
  <c r="E47" i="1"/>
  <c r="F17" i="2"/>
  <c r="F18" i="2" s="1"/>
  <c r="I8" i="2"/>
  <c r="I9" i="2" s="1"/>
  <c r="I10" i="2" s="1"/>
  <c r="I11" i="2" s="1"/>
  <c r="I12" i="2" s="1"/>
  <c r="E37" i="1"/>
  <c r="E43" i="1" s="1"/>
  <c r="E44" i="1" s="1"/>
  <c r="E33" i="1"/>
  <c r="E28" i="1"/>
  <c r="E23" i="1"/>
  <c r="E22" i="1" s="1"/>
  <c r="D3" i="33"/>
  <c r="E119" i="1" s="1"/>
  <c r="D4" i="33"/>
  <c r="E120" i="1" s="1"/>
  <c r="D5" i="33"/>
  <c r="D6" i="33"/>
  <c r="E121" i="1" s="1"/>
  <c r="D7" i="33"/>
  <c r="E122" i="1" s="1"/>
  <c r="E17" i="1"/>
  <c r="E8" i="1"/>
  <c r="E21" i="1" l="1"/>
  <c r="E126" i="1"/>
  <c r="E127" i="1" s="1"/>
  <c r="K20" i="2"/>
  <c r="E6" i="1"/>
  <c r="C10" i="8"/>
  <c r="F19" i="2"/>
  <c r="E118" i="1"/>
  <c r="E102" i="1"/>
  <c r="E103" i="1"/>
  <c r="E77" i="1"/>
  <c r="E92" i="1"/>
  <c r="E91" i="1" s="1"/>
  <c r="E38" i="1"/>
  <c r="E71" i="1"/>
  <c r="E72" i="1" s="1"/>
  <c r="B1" i="31"/>
  <c r="C3" i="29"/>
  <c r="B3" i="29"/>
  <c r="E13" i="23"/>
  <c r="J37" i="23"/>
  <c r="J38" i="23"/>
  <c r="J42" i="23"/>
  <c r="J45" i="23"/>
  <c r="H46" i="23"/>
  <c r="H36" i="23"/>
  <c r="E34" i="23"/>
  <c r="E8" i="2" l="1"/>
  <c r="D8" i="2" s="1"/>
  <c r="E104" i="1"/>
  <c r="E59" i="1"/>
  <c r="E61" i="1" s="1"/>
  <c r="E10" i="2"/>
  <c r="D10" i="2" s="1"/>
  <c r="C16" i="8"/>
  <c r="G10" i="8"/>
  <c r="J8" i="2"/>
  <c r="D3" i="29"/>
  <c r="C27" i="23"/>
  <c r="E27" i="23" s="1"/>
  <c r="C26" i="23"/>
  <c r="C28" i="23"/>
  <c r="B29" i="27"/>
  <c r="B26" i="27"/>
  <c r="B27" i="26"/>
  <c r="B20" i="26"/>
  <c r="B16" i="26"/>
  <c r="B40" i="25"/>
  <c r="B35" i="25"/>
  <c r="B27" i="25"/>
  <c r="B23" i="25"/>
  <c r="D11" i="24"/>
  <c r="F42" i="23"/>
  <c r="E38" i="23"/>
  <c r="E37" i="23"/>
  <c r="E30" i="23"/>
  <c r="E29" i="23"/>
  <c r="H27" i="23"/>
  <c r="J24" i="23"/>
  <c r="J23" i="23"/>
  <c r="E23" i="23"/>
  <c r="J22" i="23"/>
  <c r="J8" i="23"/>
  <c r="E106" i="1" l="1"/>
  <c r="E107" i="1" s="1"/>
  <c r="K8" i="2"/>
  <c r="J9" i="2"/>
  <c r="K9" i="2" s="1"/>
  <c r="K10" i="2" s="1"/>
  <c r="J10" i="2" s="1"/>
  <c r="G9" i="2"/>
  <c r="H9" i="2" s="1"/>
  <c r="E40" i="1" s="1"/>
  <c r="B28" i="26"/>
  <c r="J27" i="23"/>
  <c r="E41" i="1" l="1"/>
  <c r="G11" i="2"/>
  <c r="J11" i="2"/>
  <c r="R7" i="17"/>
  <c r="K18" i="19"/>
  <c r="K19" i="19"/>
  <c r="K25" i="19"/>
  <c r="K27" i="19"/>
  <c r="F8" i="19"/>
  <c r="F11" i="19"/>
  <c r="F17" i="19"/>
  <c r="F20" i="19"/>
  <c r="F21" i="19"/>
  <c r="F24" i="19"/>
  <c r="F29" i="19"/>
  <c r="F32" i="19"/>
  <c r="F33" i="19"/>
  <c r="J12" i="2" l="1"/>
  <c r="K12" i="2" s="1"/>
  <c r="K11" i="2"/>
  <c r="H11" i="2"/>
  <c r="E68" i="1" s="1"/>
  <c r="E69" i="1" s="1"/>
  <c r="G12" i="2"/>
  <c r="H12" i="2" s="1"/>
  <c r="S13" i="17"/>
  <c r="S20" i="17"/>
  <c r="E79" i="1" l="1"/>
  <c r="E80" i="1" s="1"/>
  <c r="D19" i="19"/>
  <c r="F19" i="19" s="1"/>
  <c r="D18" i="19"/>
  <c r="F18" i="19" s="1"/>
  <c r="D23" i="19"/>
  <c r="F23" i="19" s="1"/>
  <c r="D22" i="19"/>
  <c r="F22" i="19" s="1"/>
  <c r="D25" i="19"/>
  <c r="F25" i="19" s="1"/>
  <c r="D27" i="19"/>
  <c r="F27" i="19" s="1"/>
  <c r="D28" i="19"/>
  <c r="F28" i="19" s="1"/>
  <c r="D26" i="19"/>
  <c r="F26" i="19" s="1"/>
  <c r="D16" i="23" l="1"/>
  <c r="E16" i="23" s="1"/>
  <c r="D40" i="23"/>
  <c r="E40" i="23" s="1"/>
  <c r="D42" i="23"/>
  <c r="E42" i="23" s="1"/>
  <c r="D41" i="23"/>
  <c r="E41" i="23" s="1"/>
  <c r="D15" i="23"/>
  <c r="E15" i="23" s="1"/>
  <c r="C11" i="25" s="1"/>
  <c r="D11" i="23"/>
  <c r="E11" i="23" s="1"/>
  <c r="C9" i="25" s="1"/>
  <c r="C10" i="25" l="1"/>
  <c r="B15" i="27"/>
  <c r="C6" i="25"/>
  <c r="B8" i="27"/>
  <c r="D16" i="19" l="1"/>
  <c r="F16" i="19" s="1"/>
  <c r="D17" i="23" l="1"/>
  <c r="E17" i="23" s="1"/>
  <c r="C7" i="25" s="1"/>
  <c r="F82" i="17"/>
  <c r="G82" i="17" s="1"/>
  <c r="F89" i="17" s="1"/>
  <c r="N74" i="17"/>
  <c r="O74" i="17" s="1"/>
  <c r="F99" i="17" s="1"/>
  <c r="J74" i="17"/>
  <c r="K74" i="17" s="1"/>
  <c r="F98" i="17" s="1"/>
  <c r="C73" i="17"/>
  <c r="F87" i="17" s="1"/>
  <c r="S71" i="17"/>
  <c r="F94" i="17" s="1"/>
  <c r="N71" i="17"/>
  <c r="O71" i="17" s="1"/>
  <c r="F92" i="17" s="1"/>
  <c r="J69" i="17"/>
  <c r="K69" i="17" s="1"/>
  <c r="F90" i="17" s="1"/>
  <c r="B67" i="17"/>
  <c r="C67" i="17" s="1"/>
  <c r="F86" i="17" s="1"/>
  <c r="W66" i="17"/>
  <c r="F96" i="17" s="1"/>
  <c r="R65" i="17"/>
  <c r="S65" i="17" s="1"/>
  <c r="F93" i="17" s="1"/>
  <c r="G65" i="17"/>
  <c r="F88" i="17" s="1"/>
  <c r="S60" i="17"/>
  <c r="N60" i="17"/>
  <c r="O60" i="17" s="1"/>
  <c r="F91" i="17" s="1"/>
  <c r="S58" i="17"/>
  <c r="K58" i="17"/>
  <c r="J58" i="17" s="1"/>
  <c r="G86" i="17" s="1"/>
  <c r="W57" i="17"/>
  <c r="F95" i="17" s="1"/>
  <c r="S57" i="17"/>
  <c r="I50" i="17"/>
  <c r="L47" i="17" s="1"/>
  <c r="I46" i="17"/>
  <c r="I47" i="17" s="1"/>
  <c r="O40" i="17"/>
  <c r="K39" i="17"/>
  <c r="L48" i="17" s="1"/>
  <c r="N37" i="17"/>
  <c r="N40" i="17" s="1"/>
  <c r="F37" i="17"/>
  <c r="B37" i="17"/>
  <c r="N32" i="17"/>
  <c r="O31" i="17"/>
  <c r="C31" i="17"/>
  <c r="O30" i="17"/>
  <c r="J30" i="17"/>
  <c r="K31" i="17" s="1"/>
  <c r="G30" i="17"/>
  <c r="F31" i="17" s="1"/>
  <c r="C30" i="17"/>
  <c r="C32" i="17" s="1"/>
  <c r="B30" i="17"/>
  <c r="V22" i="17"/>
  <c r="K22" i="17"/>
  <c r="G22" i="17"/>
  <c r="B22" i="17"/>
  <c r="C22" i="17" s="1"/>
  <c r="B29" i="17" s="1"/>
  <c r="B32" i="17" s="1"/>
  <c r="O21" i="17"/>
  <c r="O22" i="17" s="1"/>
  <c r="N22" i="17" s="1"/>
  <c r="O5" i="17" s="1"/>
  <c r="N6" i="17" s="1"/>
  <c r="O6" i="17" s="1"/>
  <c r="Z19" i="17" s="1"/>
  <c r="W20" i="17"/>
  <c r="W22" i="17" s="1"/>
  <c r="V16" i="17"/>
  <c r="J16" i="17"/>
  <c r="B16" i="17"/>
  <c r="C15" i="17"/>
  <c r="W13" i="17"/>
  <c r="K13" i="17"/>
  <c r="F13" i="17"/>
  <c r="C13" i="17"/>
  <c r="W12" i="17"/>
  <c r="W16" i="17" s="1"/>
  <c r="K12" i="17"/>
  <c r="K16" i="17" s="1"/>
  <c r="G11" i="17"/>
  <c r="G10" i="17"/>
  <c r="C9" i="17"/>
  <c r="S8" i="17"/>
  <c r="V7" i="17"/>
  <c r="W6" i="17"/>
  <c r="R6" i="17"/>
  <c r="S56" i="17" s="1"/>
  <c r="K6" i="17"/>
  <c r="J7" i="17" s="1"/>
  <c r="W5" i="17"/>
  <c r="W7" i="17" s="1"/>
  <c r="C6" i="17" l="1"/>
  <c r="C12" i="17"/>
  <c r="C39" i="17"/>
  <c r="O32" i="17"/>
  <c r="N33" i="17" s="1"/>
  <c r="S61" i="17"/>
  <c r="R61" i="17" s="1"/>
  <c r="G87" i="17" s="1"/>
  <c r="C16" i="17"/>
  <c r="B17" i="17" s="1"/>
  <c r="V8" i="17"/>
  <c r="G13" i="17"/>
  <c r="F15" i="17" s="1"/>
  <c r="V23" i="17"/>
  <c r="O41" i="17"/>
  <c r="V17" i="17"/>
  <c r="G97" i="17"/>
  <c r="F97" i="17"/>
  <c r="J17" i="17"/>
  <c r="C33" i="17"/>
  <c r="F100" i="17"/>
  <c r="R8" i="17"/>
  <c r="S9" i="17" s="1"/>
  <c r="G39" i="17"/>
  <c r="L46" i="17"/>
  <c r="L49" i="17" s="1"/>
  <c r="G98" i="17" l="1"/>
  <c r="G100" i="17" s="1"/>
  <c r="G101" i="17" s="1"/>
  <c r="F101" i="17" s="1"/>
  <c r="M46" i="17" s="1"/>
  <c r="M49" i="17" s="1"/>
  <c r="M50" i="17" s="1"/>
  <c r="L50" i="17" s="1"/>
  <c r="Q47" i="17" s="1"/>
  <c r="Q48" i="17" s="1"/>
  <c r="D10" i="19" l="1"/>
  <c r="F10" i="19" s="1"/>
  <c r="D9" i="19"/>
  <c r="F9" i="19" s="1"/>
  <c r="J20" i="19"/>
  <c r="K20" i="19" s="1"/>
  <c r="J21" i="19"/>
  <c r="K21" i="19" s="1"/>
  <c r="H12" i="23" l="1"/>
  <c r="C14" i="23"/>
  <c r="D31" i="19"/>
  <c r="F31" i="19" s="1"/>
  <c r="C12" i="23"/>
  <c r="H9" i="23"/>
  <c r="H14" i="23"/>
  <c r="I36" i="23"/>
  <c r="D26" i="23"/>
  <c r="I46" i="23"/>
  <c r="J46" i="23" s="1"/>
  <c r="D28" i="23"/>
  <c r="E28" i="23" s="1"/>
  <c r="J7" i="19"/>
  <c r="K7" i="19" s="1"/>
  <c r="J8" i="19"/>
  <c r="K8" i="19" s="1"/>
  <c r="D14" i="23" l="1"/>
  <c r="E14" i="23" s="1"/>
  <c r="E26" i="23"/>
  <c r="I16" i="23"/>
  <c r="I10" i="23"/>
  <c r="J36" i="23"/>
  <c r="J9" i="23"/>
  <c r="H13" i="23"/>
  <c r="J9" i="19" l="1"/>
  <c r="K9" i="19" s="1"/>
  <c r="D15" i="19"/>
  <c r="F15" i="19" s="1"/>
  <c r="J10" i="23"/>
  <c r="B14" i="27"/>
  <c r="C5" i="25"/>
  <c r="H15" i="23"/>
  <c r="B6" i="24" s="1"/>
  <c r="B12" i="25"/>
  <c r="B16" i="27"/>
  <c r="M5" i="5"/>
  <c r="B14" i="25" l="1"/>
  <c r="B17" i="27"/>
  <c r="D12" i="23"/>
  <c r="E12" i="23" s="1"/>
  <c r="I12" i="23"/>
  <c r="B6" i="8"/>
  <c r="D6" i="8"/>
  <c r="F6" i="8"/>
  <c r="A14" i="8"/>
  <c r="B13" i="27" l="1"/>
  <c r="C4" i="25"/>
  <c r="J12" i="23"/>
  <c r="B18" i="27" l="1"/>
  <c r="B15" i="25"/>
  <c r="D14" i="19"/>
  <c r="F14" i="19" s="1"/>
  <c r="D10" i="23" l="1"/>
  <c r="F6" i="5"/>
  <c r="F13" i="8" l="1"/>
  <c r="E144" i="1"/>
  <c r="E145" i="1" s="1"/>
  <c r="D13" i="8"/>
  <c r="M6" i="5"/>
  <c r="M8" i="5" s="1"/>
  <c r="M9" i="5" s="1"/>
  <c r="F7" i="5"/>
  <c r="F15" i="8" l="1"/>
  <c r="G15" i="8" s="1"/>
  <c r="E149" i="1"/>
  <c r="E150" i="1" s="1"/>
  <c r="G13" i="8"/>
  <c r="D16" i="8"/>
  <c r="C33" i="23"/>
  <c r="C31" i="23"/>
  <c r="H16" i="23"/>
  <c r="C32" i="23"/>
  <c r="E32" i="23" s="1"/>
  <c r="H39" i="23"/>
  <c r="H16" i="8" l="1"/>
  <c r="F16" i="8"/>
  <c r="G16" i="8" s="1"/>
  <c r="C8" i="23"/>
  <c r="D13" i="19"/>
  <c r="F13" i="19" s="1"/>
  <c r="D7" i="19"/>
  <c r="F7" i="19" s="1"/>
  <c r="B14" i="24"/>
  <c r="J16" i="23"/>
  <c r="H19" i="23"/>
  <c r="B10" i="24"/>
  <c r="C43" i="23"/>
  <c r="D31" i="23" l="1"/>
  <c r="H43" i="23"/>
  <c r="B5" i="27"/>
  <c r="B31" i="27"/>
  <c r="B3" i="24"/>
  <c r="H28" i="23"/>
  <c r="D8" i="23"/>
  <c r="D33" i="23"/>
  <c r="E33" i="23" s="1"/>
  <c r="D12" i="19"/>
  <c r="D30" i="19" l="1"/>
  <c r="F30" i="19" s="1"/>
  <c r="H47" i="23"/>
  <c r="H48" i="23" s="1"/>
  <c r="B15" i="24"/>
  <c r="B7" i="27"/>
  <c r="E31" i="23"/>
  <c r="D43" i="23"/>
  <c r="E43" i="23" s="1"/>
  <c r="C10" i="24"/>
  <c r="D10" i="24" s="1"/>
  <c r="B32" i="27"/>
  <c r="B33" i="27" s="1"/>
  <c r="C3" i="24"/>
  <c r="E8" i="23"/>
  <c r="F12" i="19"/>
  <c r="D34" i="19"/>
  <c r="F34" i="19" s="1"/>
  <c r="C10" i="23" l="1"/>
  <c r="D3" i="24"/>
  <c r="D18" i="23"/>
  <c r="B5" i="24" l="1"/>
  <c r="E10" i="23"/>
  <c r="C19" i="23"/>
  <c r="C48" i="23" s="1"/>
  <c r="E18" i="23"/>
  <c r="C8" i="25" s="1"/>
  <c r="C5" i="24"/>
  <c r="D19" i="23"/>
  <c r="B3" i="27" l="1"/>
  <c r="B10" i="27" s="1"/>
  <c r="J11" i="19"/>
  <c r="K11" i="19" s="1"/>
  <c r="J10" i="19"/>
  <c r="K10" i="19" s="1"/>
  <c r="D48" i="23"/>
  <c r="E48" i="23" s="1"/>
  <c r="E19" i="23"/>
  <c r="C3" i="25"/>
  <c r="B12" i="27"/>
  <c r="D5" i="24"/>
  <c r="B16" i="24"/>
  <c r="I13" i="23" l="1"/>
  <c r="I15" i="23"/>
  <c r="J15" i="23" s="1"/>
  <c r="B13" i="25" l="1"/>
  <c r="B19" i="27"/>
  <c r="J13" i="23"/>
  <c r="C6" i="24"/>
  <c r="J22" i="19"/>
  <c r="K22" i="19" s="1"/>
  <c r="I39" i="23" l="1"/>
  <c r="J12" i="19"/>
  <c r="J23" i="19"/>
  <c r="K23" i="19" s="1"/>
  <c r="B16" i="25"/>
  <c r="B20" i="27"/>
  <c r="B21" i="27" s="1"/>
  <c r="B30" i="27" s="1"/>
  <c r="D33" i="27" s="1"/>
  <c r="J24" i="19"/>
  <c r="K24" i="19" s="1"/>
  <c r="D6" i="24"/>
  <c r="B17" i="25"/>
  <c r="B41" i="25" s="1"/>
  <c r="I43" i="23" l="1"/>
  <c r="J43" i="23" s="1"/>
  <c r="J17" i="19"/>
  <c r="K17" i="19" s="1"/>
  <c r="K12" i="19"/>
  <c r="I14" i="23"/>
  <c r="J26" i="19"/>
  <c r="K26" i="19" s="1"/>
  <c r="E6" i="24"/>
  <c r="I44" i="23"/>
  <c r="J44" i="23" s="1"/>
  <c r="J39" i="23"/>
  <c r="J28" i="19" l="1"/>
  <c r="C15" i="24"/>
  <c r="D15" i="24" s="1"/>
  <c r="I47" i="23"/>
  <c r="C14" i="24"/>
  <c r="J14" i="23"/>
  <c r="I19" i="23"/>
  <c r="J47" i="23"/>
  <c r="H50" i="19"/>
  <c r="K28" i="19"/>
  <c r="D14" i="24" l="1"/>
  <c r="D16" i="24" s="1"/>
  <c r="C16" i="24"/>
  <c r="I28" i="23"/>
  <c r="I48" i="23" s="1"/>
  <c r="J48" i="23" s="1"/>
  <c r="J19" i="23"/>
  <c r="J28" i="23" s="1"/>
</calcChain>
</file>

<file path=xl/sharedStrings.xml><?xml version="1.0" encoding="utf-8"?>
<sst xmlns="http://schemas.openxmlformats.org/spreadsheetml/2006/main" count="1229" uniqueCount="597">
  <si>
    <t>Lançamentos</t>
  </si>
  <si>
    <t>1)</t>
  </si>
  <si>
    <t>2)</t>
  </si>
  <si>
    <t>SALDO INICIAL</t>
  </si>
  <si>
    <t>SAÍDA</t>
  </si>
  <si>
    <t>SALDO FINAL</t>
  </si>
  <si>
    <t>QT.</t>
  </si>
  <si>
    <t>VALOR UNIT.</t>
  </si>
  <si>
    <t>V.T.</t>
  </si>
  <si>
    <t>COMPRA 1</t>
  </si>
  <si>
    <t>VALOR DA MERCADORIA</t>
  </si>
  <si>
    <t xml:space="preserve">(-) ICMS </t>
  </si>
  <si>
    <t>CUSTO TOTAL</t>
  </si>
  <si>
    <t>4)</t>
  </si>
  <si>
    <t>-</t>
  </si>
  <si>
    <t>COMPRA 2</t>
  </si>
  <si>
    <t>(-) ICMS</t>
  </si>
  <si>
    <t>MÊS</t>
  </si>
  <si>
    <t>Controle da Receita Líquida</t>
  </si>
  <si>
    <t>Receita Bruta</t>
  </si>
  <si>
    <t>ATIVOS</t>
  </si>
  <si>
    <t>BANCO</t>
  </si>
  <si>
    <t>PASSIVOS</t>
  </si>
  <si>
    <t>PL</t>
  </si>
  <si>
    <t>RESULTADO</t>
  </si>
  <si>
    <t>CAPITAL SOCIAL</t>
  </si>
  <si>
    <t>RESERVA DE CAPITAL - ÁGIO</t>
  </si>
  <si>
    <t>IMOBILIZADO</t>
  </si>
  <si>
    <t>(1a)</t>
  </si>
  <si>
    <t>(2a)</t>
  </si>
  <si>
    <t>ESTOQUES</t>
  </si>
  <si>
    <t>(3a)</t>
  </si>
  <si>
    <t>(4a)</t>
  </si>
  <si>
    <t>(5a)</t>
  </si>
  <si>
    <t>(6a)</t>
  </si>
  <si>
    <t>RECEITA C/ VENDAS</t>
  </si>
  <si>
    <t>CMV</t>
  </si>
  <si>
    <t>ICMS S/ VENDAS</t>
  </si>
  <si>
    <t>ICMS A RECOLHER</t>
  </si>
  <si>
    <t>DESPESA C/ FRETE</t>
  </si>
  <si>
    <t>SEGUROS A APROPRIAR - DESP. ANTEC.</t>
  </si>
  <si>
    <t>(7a)</t>
  </si>
  <si>
    <t>DESPESA C/ SEGURO</t>
  </si>
  <si>
    <t>(7b)</t>
  </si>
  <si>
    <t>(8a)</t>
  </si>
  <si>
    <t>(9a)</t>
  </si>
  <si>
    <t>(9b)</t>
  </si>
  <si>
    <t>(9c)</t>
  </si>
  <si>
    <t>CLIENTES</t>
  </si>
  <si>
    <t>(10a)</t>
  </si>
  <si>
    <t>(10b)</t>
  </si>
  <si>
    <t>DUPLICATAS DESCONTADAS</t>
  </si>
  <si>
    <t>DESPESA FINANCEIRA</t>
  </si>
  <si>
    <t>DESPESA ADM. DIVERSAS</t>
  </si>
  <si>
    <t>(11a)</t>
  </si>
  <si>
    <t>Deduções da Receita Bruta:</t>
  </si>
  <si>
    <t>Desp. Com ICMS</t>
  </si>
  <si>
    <t>(</t>
  </si>
  <si>
    <t>)</t>
  </si>
  <si>
    <t>Receita Liquida</t>
  </si>
  <si>
    <t>Nome da Empresa</t>
  </si>
  <si>
    <t>Demonstração do Resultado</t>
  </si>
  <si>
    <t>Exercício findo em 31 de dezembro de x2</t>
  </si>
  <si>
    <t>(Expressa em R$)</t>
  </si>
  <si>
    <t>Receitas</t>
  </si>
  <si>
    <t>(-) CMV</t>
  </si>
  <si>
    <t>Lucro Bruto</t>
  </si>
  <si>
    <t>Desp. c/ IR</t>
  </si>
  <si>
    <t>Desp. c/ CSLL</t>
  </si>
  <si>
    <t>DESPESA C/ DEPREC.</t>
  </si>
  <si>
    <t>(12a)</t>
  </si>
  <si>
    <t>DESPESA C/ IR</t>
  </si>
  <si>
    <t>(13a)</t>
  </si>
  <si>
    <t>(13b)</t>
  </si>
  <si>
    <t>IR A PAGAR</t>
  </si>
  <si>
    <t>CSLL A PAGAR</t>
  </si>
  <si>
    <t>DESPESA C/ CSLL</t>
  </si>
  <si>
    <t>BASE DE CÁLCULO DAS RESERVAS</t>
  </si>
  <si>
    <t>Lucro líquido do exercício</t>
  </si>
  <si>
    <t>(-) 5% para reserva legal</t>
  </si>
  <si>
    <t>Saldo</t>
  </si>
  <si>
    <t>BASE DE CÁLCULO DOS DIVIDENDOS</t>
  </si>
  <si>
    <t>Lucro líquido do exercicio</t>
  </si>
  <si>
    <t>(-) Reserva Legal</t>
  </si>
  <si>
    <t>(-) 60% dividendos</t>
  </si>
  <si>
    <t>(14a)</t>
  </si>
  <si>
    <t>(14c)</t>
  </si>
  <si>
    <t>(8b)</t>
  </si>
  <si>
    <t>RESERVA LEGAL</t>
  </si>
  <si>
    <t>ARE</t>
  </si>
  <si>
    <t>(B)</t>
  </si>
  <si>
    <t>(A)</t>
  </si>
  <si>
    <t>( C )</t>
  </si>
  <si>
    <t>LUCRO OU PREJ. ACUMULADO</t>
  </si>
  <si>
    <t>DIVIDENDOS A PAGAR</t>
  </si>
  <si>
    <t>RESERVA DE RET. DE LUCRO</t>
  </si>
  <si>
    <t>Balanço Patrimonial</t>
  </si>
  <si>
    <t>Exercício findo em 31 de dezembro de X2</t>
  </si>
  <si>
    <t>ATIVO</t>
  </si>
  <si>
    <t>PASSIVO</t>
  </si>
  <si>
    <t>(-) DEPREC. ACUMULADA</t>
  </si>
  <si>
    <t xml:space="preserve">TOTAL DO ATIVO: </t>
  </si>
  <si>
    <t>TOTAL DO PASSIVO:</t>
  </si>
  <si>
    <t>TOTAL DO PL:</t>
  </si>
  <si>
    <t>TOTAL PASSIVO + PL:</t>
  </si>
  <si>
    <t>DIFERENÇA:</t>
  </si>
  <si>
    <t>Demonstração das Mutações do Patrimônio Líquido</t>
  </si>
  <si>
    <t>RESERVAS DE LUCRO</t>
  </si>
  <si>
    <t>Eventos</t>
  </si>
  <si>
    <t>Total</t>
  </si>
  <si>
    <t>Saldo Anterior</t>
  </si>
  <si>
    <t>Lucro líquido exercício</t>
  </si>
  <si>
    <t>Destinação das reservas</t>
  </si>
  <si>
    <t>Reserva Legal</t>
  </si>
  <si>
    <t>Distribuição de Dividendos</t>
  </si>
  <si>
    <t>Saldo Final</t>
  </si>
  <si>
    <t>Aumento de capital</t>
  </si>
  <si>
    <t>Reserva de retenção de lucros</t>
  </si>
  <si>
    <t>Ágio na emissão de ações</t>
  </si>
  <si>
    <t>Exercício findo em 31 de dezembro de 2012</t>
  </si>
  <si>
    <t>Despesas administrativas</t>
  </si>
  <si>
    <t>ICMS a recuperar</t>
  </si>
  <si>
    <t>(SI)</t>
  </si>
  <si>
    <t>Capital Social Integralizado</t>
  </si>
  <si>
    <t>Empréstimos</t>
  </si>
  <si>
    <t>Fornecedores</t>
  </si>
  <si>
    <t>Salários a pagar</t>
  </si>
  <si>
    <t>Despesa antecipada - Assinatura</t>
  </si>
  <si>
    <t>Depreciação acumulada</t>
  </si>
  <si>
    <t>Veículos</t>
  </si>
  <si>
    <t>Clientes</t>
  </si>
  <si>
    <t>Estoques</t>
  </si>
  <si>
    <t>Bancos</t>
  </si>
  <si>
    <t>Imobilizado</t>
  </si>
  <si>
    <t>Juros a apropriar</t>
  </si>
  <si>
    <t>Duplicatas descontadas</t>
  </si>
  <si>
    <t>Dividendos a pagar</t>
  </si>
  <si>
    <t>CSLL a pagar</t>
  </si>
  <si>
    <t>Reserva de capital - Ágio</t>
  </si>
  <si>
    <t>Lucro ou Prejuízo acumulado</t>
  </si>
  <si>
    <t>Reserva de retenção de lucro</t>
  </si>
  <si>
    <t>Despesa Financeira</t>
  </si>
  <si>
    <t>IR</t>
  </si>
  <si>
    <t>CSLL</t>
  </si>
  <si>
    <t>PERDAS ESTIMADAS C/ IMPARIDADE (REDUTORA - RESMA)</t>
  </si>
  <si>
    <t>IMOBILIZADO - SALA COM.</t>
  </si>
  <si>
    <t>IMOBILIZADO - VEÍCULOS</t>
  </si>
  <si>
    <t>JUROS A APROPRIAR (REDUTORA - CLIENTES)</t>
  </si>
  <si>
    <t>AÇÕES - PETROBRÁS</t>
  </si>
  <si>
    <t>AÇÕES - GERDAU</t>
  </si>
  <si>
    <t>(7f)</t>
  </si>
  <si>
    <t>(7m)</t>
  </si>
  <si>
    <t>(2e)</t>
  </si>
  <si>
    <t>(1b)</t>
  </si>
  <si>
    <t>(2d)</t>
  </si>
  <si>
    <t>(7j)</t>
  </si>
  <si>
    <t>(7e)</t>
  </si>
  <si>
    <t>(5d)</t>
  </si>
  <si>
    <t>(7h)</t>
  </si>
  <si>
    <t>(2c)</t>
  </si>
  <si>
    <t>ADIANTAMENTO A FUNCIONÁRIOS</t>
  </si>
  <si>
    <t>(5c)</t>
  </si>
  <si>
    <t>IMOBILIZADO - MÁQ. E EQ.</t>
  </si>
  <si>
    <t>ESTOQUE - RESMA</t>
  </si>
  <si>
    <t>AÇÕES - VALE</t>
  </si>
  <si>
    <t>(3b)</t>
  </si>
  <si>
    <t>(7c)</t>
  </si>
  <si>
    <t>(11b)</t>
  </si>
  <si>
    <t>PERDAS ESTIMADAS C/ IMPARIDADE (REDUTORA - TONNER)</t>
  </si>
  <si>
    <t>(5e)</t>
  </si>
  <si>
    <t>DEPREC. ACUMULADA - SALA COM.</t>
  </si>
  <si>
    <t>DEPREC. ACUMULADA - MÁQ. E EQ.</t>
  </si>
  <si>
    <t>DEPREC. ACUMULADA - VÉICULOS</t>
  </si>
  <si>
    <t>ESTOQUE - TONNER</t>
  </si>
  <si>
    <t>AÇÕES - AMBEV</t>
  </si>
  <si>
    <t>AÑC MANTIDO PARA VENDA</t>
  </si>
  <si>
    <t>ICMS A RECUPERAR</t>
  </si>
  <si>
    <t>(12b)</t>
  </si>
  <si>
    <t>(7d)</t>
  </si>
  <si>
    <t>(7l)</t>
  </si>
  <si>
    <t>(7i)</t>
  </si>
  <si>
    <t>(4c)</t>
  </si>
  <si>
    <t>JUROS A APROPRIAR (REDUTORA -DUPLICATAS)</t>
  </si>
  <si>
    <t>JUROS A APROPRIAR (REDUTORA - FORNEC.)</t>
  </si>
  <si>
    <t>(2b)</t>
  </si>
  <si>
    <t>(1c)</t>
  </si>
  <si>
    <t>(5b)</t>
  </si>
  <si>
    <t>(4b)</t>
  </si>
  <si>
    <t>FORNECEDORES</t>
  </si>
  <si>
    <t>(15a)</t>
  </si>
  <si>
    <t>(15b)</t>
  </si>
  <si>
    <t>(16c)</t>
  </si>
  <si>
    <t>(16a)</t>
  </si>
  <si>
    <t xml:space="preserve"> </t>
  </si>
  <si>
    <t>(16b)</t>
  </si>
  <si>
    <t>(16d)</t>
  </si>
  <si>
    <t>RESERVA ESTATUT.</t>
  </si>
  <si>
    <t>RECEITA FINANCEIRA</t>
  </si>
  <si>
    <t>DESPESA C/ IMPARIDADE - RESMA</t>
  </si>
  <si>
    <t>DESPESA DE CONSUMO</t>
  </si>
  <si>
    <t>DESPESA C/ IMPARIDADE - TONNER</t>
  </si>
  <si>
    <t>DESP. C/ MANUTENÇÃO</t>
  </si>
  <si>
    <t>(7g)</t>
  </si>
  <si>
    <t>$</t>
  </si>
  <si>
    <t>VALOR</t>
  </si>
  <si>
    <t>JUROS (TAXA EFETIVA)</t>
  </si>
  <si>
    <t>SALDO ATUALIZADO</t>
  </si>
  <si>
    <t>Adiantamento a funcionários</t>
  </si>
  <si>
    <t>JUROS A APROPRIAR</t>
  </si>
  <si>
    <t>Sala Comercial</t>
  </si>
  <si>
    <t>Máquinas e Equipamentos</t>
  </si>
  <si>
    <t>ESTOQUES - ALMOXARIFADO</t>
  </si>
  <si>
    <t>Resma</t>
  </si>
  <si>
    <t>Tonner</t>
  </si>
  <si>
    <t>PERDAS ESTIMADAS C/ IMPARIDADE</t>
  </si>
  <si>
    <t>AÇÕES</t>
  </si>
  <si>
    <t>Petrobrás</t>
  </si>
  <si>
    <t>AMBEV</t>
  </si>
  <si>
    <t>Gerdau</t>
  </si>
  <si>
    <t>ADIANTAMENTO A FUNCINÁRIOS</t>
  </si>
  <si>
    <t>AÑC MANTIDO P/ VENDA</t>
  </si>
  <si>
    <t>RESERVA ESTATUTÁRIA</t>
  </si>
  <si>
    <t>Desp. c/ propaganda</t>
  </si>
  <si>
    <t>Desp. c/ treinamento</t>
  </si>
  <si>
    <t>Classificação</t>
  </si>
  <si>
    <t>X1</t>
  </si>
  <si>
    <t>X2</t>
  </si>
  <si>
    <t>Variação</t>
  </si>
  <si>
    <t>Ativo Circulante</t>
  </si>
  <si>
    <t>Passivo Circulante</t>
  </si>
  <si>
    <t>Disponibilidades (Bancos)</t>
  </si>
  <si>
    <t>(*)</t>
  </si>
  <si>
    <t xml:space="preserve">      Fornecedores</t>
  </si>
  <si>
    <t>ICMS a Recolher</t>
  </si>
  <si>
    <t>IR a Pagar</t>
  </si>
  <si>
    <t>Despesas pagas antecipadamente</t>
  </si>
  <si>
    <t>(-) Juros a apropriar</t>
  </si>
  <si>
    <t>Total do circulante</t>
  </si>
  <si>
    <t>Ativo Não Circulante</t>
  </si>
  <si>
    <t>Passivo Não Circulante</t>
  </si>
  <si>
    <t xml:space="preserve"> Realizável a LP</t>
  </si>
  <si>
    <t xml:space="preserve"> Empréstimos</t>
  </si>
  <si>
    <t xml:space="preserve">         Despesas pagas antecipadamente</t>
  </si>
  <si>
    <t xml:space="preserve"> Contas a pagar</t>
  </si>
  <si>
    <t xml:space="preserve"> (-) Juros a apropriar</t>
  </si>
  <si>
    <t xml:space="preserve">         Máquinas</t>
  </si>
  <si>
    <t xml:space="preserve">         Veículos</t>
  </si>
  <si>
    <t>Total do não circulante</t>
  </si>
  <si>
    <t xml:space="preserve">         Edificações</t>
  </si>
  <si>
    <t>Total do Passivo</t>
  </si>
  <si>
    <t xml:space="preserve">         Equipamentos</t>
  </si>
  <si>
    <t xml:space="preserve">   (-) Dep. Acumulada</t>
  </si>
  <si>
    <t>Patrimônio Líquido</t>
  </si>
  <si>
    <t>Intangível</t>
  </si>
  <si>
    <t xml:space="preserve">          Software</t>
  </si>
  <si>
    <t xml:space="preserve">          (-) Amortização acumulada</t>
  </si>
  <si>
    <t>Reserva de Lucros</t>
  </si>
  <si>
    <t>Reserva Retenção Lucros</t>
  </si>
  <si>
    <t>Reserva de Capital</t>
  </si>
  <si>
    <t xml:space="preserve">         Ágio na emissão de ações</t>
  </si>
  <si>
    <t>Total do PL</t>
  </si>
  <si>
    <t>Total Ativo</t>
  </si>
  <si>
    <t>Total Passivo + PL</t>
  </si>
  <si>
    <t xml:space="preserve"> Período </t>
  </si>
  <si>
    <t>20X1</t>
  </si>
  <si>
    <t>20X2</t>
  </si>
  <si>
    <t xml:space="preserve">Variação </t>
  </si>
  <si>
    <t>(20X2 – 20X1)</t>
  </si>
  <si>
    <t xml:space="preserve"> Caixa (*)</t>
  </si>
  <si>
    <t xml:space="preserve">Total do Ativo Operacional </t>
  </si>
  <si>
    <t>Total do Passivo Operacional (**)</t>
  </si>
  <si>
    <t>Atividades de Investimentos</t>
  </si>
  <si>
    <t>Total dos Investimentos</t>
  </si>
  <si>
    <t>Total do Imobilizado</t>
  </si>
  <si>
    <t>Total do Intangível</t>
  </si>
  <si>
    <t>Atividades de financiamentos</t>
  </si>
  <si>
    <t xml:space="preserve">   Total dos Passivos não Operacionais (**)</t>
  </si>
  <si>
    <t xml:space="preserve">   Total do Patrimônio Líquido (**)</t>
  </si>
  <si>
    <t>Total Geral (***)</t>
  </si>
  <si>
    <t xml:space="preserve">  </t>
  </si>
  <si>
    <t xml:space="preserve">Contas </t>
  </si>
  <si>
    <t>Entrada</t>
  </si>
  <si>
    <t>Saída</t>
  </si>
  <si>
    <r>
      <t xml:space="preserve"> Atividades operacionais </t>
    </r>
    <r>
      <rPr>
        <sz val="10"/>
        <color indexed="8"/>
        <rFont val="Calibri"/>
        <family val="2"/>
      </rPr>
      <t>(*)</t>
    </r>
  </si>
  <si>
    <t>Sub Total (entradas – saídas) (**)</t>
  </si>
  <si>
    <r>
      <t xml:space="preserve"> Atividades de Investimentos </t>
    </r>
    <r>
      <rPr>
        <sz val="10"/>
        <color indexed="8"/>
        <rFont val="Calibri"/>
        <family val="2"/>
      </rPr>
      <t>(***)</t>
    </r>
  </si>
  <si>
    <t xml:space="preserve">        Imobilizado</t>
  </si>
  <si>
    <t xml:space="preserve">        Aquisição de equipamentos (lançamento 7a)</t>
  </si>
  <si>
    <t xml:space="preserve">        Alienação de veículos (lançamentos 7e; 7f)</t>
  </si>
  <si>
    <t xml:space="preserve">        Despesa de depreciação (lançamentos 7d; 10a; 10b)</t>
  </si>
  <si>
    <t xml:space="preserve">Sub total (entradas – saídas) </t>
  </si>
  <si>
    <t xml:space="preserve">       Intangível</t>
  </si>
  <si>
    <t xml:space="preserve">       Aquisição de software (lançamento 8a)</t>
  </si>
  <si>
    <t xml:space="preserve">       Despesas com amortização (lançamento 8b)</t>
  </si>
  <si>
    <t>Sub total (entradas – saídas)</t>
  </si>
  <si>
    <r>
      <t xml:space="preserve"> Atividades de Financiamento </t>
    </r>
    <r>
      <rPr>
        <sz val="10"/>
        <color indexed="8"/>
        <rFont val="Calibri"/>
        <family val="2"/>
      </rPr>
      <t>(***)</t>
    </r>
  </si>
  <si>
    <t>Passivos não operacionais</t>
  </si>
  <si>
    <t xml:space="preserve">       Dividendos a pagar (lançamento 10f)</t>
  </si>
  <si>
    <t xml:space="preserve">       Contas a pagar (lançamento 7a)</t>
  </si>
  <si>
    <t>Juros a Apropriar</t>
  </si>
  <si>
    <t xml:space="preserve">       Pagamento de contas a pagar (lançamento 7c)</t>
  </si>
  <si>
    <t xml:space="preserve">       Despesas com juros (lançamento 7b)</t>
  </si>
  <si>
    <t xml:space="preserve">       Aumento de capital (lançamento 9a) </t>
  </si>
  <si>
    <t xml:space="preserve">       Lucros (lançamento C)</t>
  </si>
  <si>
    <t xml:space="preserve">       Redução do lucro para distribuição dividendos (lançamento 10g)</t>
  </si>
  <si>
    <t>Sub Total (entradas – saídas)</t>
  </si>
  <si>
    <t>TOTAL GERAL (****)</t>
  </si>
  <si>
    <t xml:space="preserve">Ajustes para reconciliar o lucro ao fluxo de caixa operacional </t>
  </si>
  <si>
    <t>(+) Despesa com Depreciação (*)</t>
  </si>
  <si>
    <t>(+) Despesa com Amortização (*)</t>
  </si>
  <si>
    <t>(+) Despesa Financeira (*)</t>
  </si>
  <si>
    <t>(-) Receita com Alienação veículo (**)</t>
  </si>
  <si>
    <t>Lucro líquido ajustado</t>
  </si>
  <si>
    <t>Variação de ativos e passivos operacionais</t>
  </si>
  <si>
    <t>Aumento dos estoques</t>
  </si>
  <si>
    <t>Aumento dos clientes</t>
  </si>
  <si>
    <r>
      <t xml:space="preserve">Aumento das despesas </t>
    </r>
    <r>
      <rPr>
        <sz val="10"/>
        <color indexed="8"/>
        <rFont val="Calibri"/>
        <family val="2"/>
      </rPr>
      <t>pagas antecipadamente</t>
    </r>
  </si>
  <si>
    <r>
      <t>Aumento de s</t>
    </r>
    <r>
      <rPr>
        <sz val="10"/>
        <color indexed="8"/>
        <rFont val="Calibri"/>
        <family val="2"/>
      </rPr>
      <t>alários a pagar</t>
    </r>
  </si>
  <si>
    <t>Aumento de fornecedores</t>
  </si>
  <si>
    <r>
      <t xml:space="preserve">Aumento do saldo de </t>
    </r>
    <r>
      <rPr>
        <sz val="10"/>
        <color indexed="8"/>
        <rFont val="Calibri"/>
        <family val="2"/>
      </rPr>
      <t>ICMS a recolher</t>
    </r>
  </si>
  <si>
    <r>
      <t xml:space="preserve">Aumento do </t>
    </r>
    <r>
      <rPr>
        <sz val="10"/>
        <color indexed="8"/>
        <rFont val="Calibri"/>
        <family val="2"/>
      </rPr>
      <t>IR a pagar</t>
    </r>
  </si>
  <si>
    <t>Caixa líquido gerado pelas atividades operacionais (1)</t>
  </si>
  <si>
    <t>Aquisição de equipamentos (***)</t>
  </si>
  <si>
    <t>Alienação de imobilizado – veículos (**)</t>
  </si>
  <si>
    <t>Aquisição de software</t>
  </si>
  <si>
    <t>Caixa líquido gerado pelas atividades de investimentos (2)</t>
  </si>
  <si>
    <t>Pagamento de contas a pagar</t>
  </si>
  <si>
    <t>Dividendos a pagar (***)</t>
  </si>
  <si>
    <t>Aumento de contas a pagar (***)</t>
  </si>
  <si>
    <t>Aumento de juros a apropriar (***)</t>
  </si>
  <si>
    <t>Redução do lucro para distribuição dividendos (***)</t>
  </si>
  <si>
    <t>Caixa líquido gerado pelas atividades de financiamentos (3)</t>
  </si>
  <si>
    <t>Aumento do Caixa (1)+(2)+(3)</t>
  </si>
  <si>
    <t>Demonstração dos Fluxos de Caixa</t>
  </si>
  <si>
    <r>
      <t>Atividades</t>
    </r>
    <r>
      <rPr>
        <b/>
        <sz val="10"/>
        <color indexed="8"/>
        <rFont val="Calibri"/>
        <family val="2"/>
      </rPr>
      <t xml:space="preserve"> </t>
    </r>
    <r>
      <rPr>
        <b/>
        <sz val="10"/>
        <color indexed="8"/>
        <rFont val="Cambria"/>
        <family val="1"/>
      </rPr>
      <t>Operacionais</t>
    </r>
  </si>
  <si>
    <t xml:space="preserve">(+) Despesa com Depreciação </t>
  </si>
  <si>
    <t xml:space="preserve">(+) Despesa com Amortização </t>
  </si>
  <si>
    <t xml:space="preserve">(+) Despesa Financeira </t>
  </si>
  <si>
    <t xml:space="preserve">(-) Receita com Alienação veículo </t>
  </si>
  <si>
    <t>Alienação de imobilizado – veículos</t>
  </si>
  <si>
    <t>Atividades de Financiamento</t>
  </si>
  <si>
    <t xml:space="preserve">   </t>
  </si>
  <si>
    <t>Caixa no Início do Ano (ver Balanço Patrimonial X1)</t>
  </si>
  <si>
    <t>Caixa no Fim do Ano (ver Balanço Patrimonial X2)</t>
  </si>
  <si>
    <t>Conferência (Caixa início do ano – Caixa fim do ano)</t>
  </si>
  <si>
    <t>AÑC disponível para venda</t>
  </si>
  <si>
    <t>Reserva estatutária</t>
  </si>
  <si>
    <t>Ações</t>
  </si>
  <si>
    <t>Resmas e toners</t>
  </si>
  <si>
    <t>Perdas estimadas (resmas e toners)</t>
  </si>
  <si>
    <t>Ambev</t>
  </si>
  <si>
    <t>(-)Juros a apropriar</t>
  </si>
  <si>
    <t>Operacional</t>
  </si>
  <si>
    <t>Investimento</t>
  </si>
  <si>
    <t>Financiamento</t>
  </si>
  <si>
    <t>duplicatas descontadas</t>
  </si>
  <si>
    <t>Perdas estimadas</t>
  </si>
  <si>
    <t>Aumento do CSLL a pagar</t>
  </si>
  <si>
    <t>(-) Receita Financeira</t>
  </si>
  <si>
    <t>Aumento de adiantamento a funcionários</t>
  </si>
  <si>
    <t>Evento</t>
  </si>
  <si>
    <t>Duplicatas Descontadas</t>
  </si>
  <si>
    <t>Estoques - Produtos para Revenda</t>
  </si>
  <si>
    <t>Investimentos</t>
  </si>
  <si>
    <t>Estoques - Almoxarifado</t>
  </si>
  <si>
    <t>Perdas estimadas c/ imparidade</t>
  </si>
  <si>
    <t>CSLL a Pagar</t>
  </si>
  <si>
    <t>Receita Financeira</t>
  </si>
  <si>
    <t>Despesa c/ Imparidade</t>
  </si>
  <si>
    <t xml:space="preserve">       Ativo não circulante mantido p/ venda</t>
  </si>
  <si>
    <t xml:space="preserve">        Aquisição de equipamentos</t>
  </si>
  <si>
    <t xml:space="preserve">        Baixa de veículos</t>
  </si>
  <si>
    <t xml:space="preserve">        Despesa de depreciação </t>
  </si>
  <si>
    <t xml:space="preserve">        Investimentos</t>
  </si>
  <si>
    <t xml:space="preserve">       Adiantamento a funcionários</t>
  </si>
  <si>
    <t xml:space="preserve">       Dividendos a pagar</t>
  </si>
  <si>
    <t xml:space="preserve">       Contas a pagar </t>
  </si>
  <si>
    <t xml:space="preserve">       Pagamento de contas a pagar </t>
  </si>
  <si>
    <t xml:space="preserve">       Despesas com juros </t>
  </si>
  <si>
    <t>(+) Despesa com Imparidade</t>
  </si>
  <si>
    <t>(+) Perda no mercado financeiro</t>
  </si>
  <si>
    <t>(-) Ganho no merado financeiro</t>
  </si>
  <si>
    <t>(-) Apropriação de juros (fornecedores)</t>
  </si>
  <si>
    <t>(+) Apropriação de juros (Clientes)</t>
  </si>
  <si>
    <t>(+) Despesa financeira</t>
  </si>
  <si>
    <t>Aumento dos estoques - almoxarifado</t>
  </si>
  <si>
    <t>Instrumentros Financeiros - ações</t>
  </si>
  <si>
    <r>
      <t xml:space="preserve">Redução das despesas </t>
    </r>
    <r>
      <rPr>
        <sz val="10"/>
        <color indexed="8"/>
        <rFont val="Calibri"/>
        <family val="2"/>
      </rPr>
      <t>pagas antecipadamente</t>
    </r>
  </si>
  <si>
    <t>Redução duplicatas descontadas</t>
  </si>
  <si>
    <r>
      <t xml:space="preserve">Redução do </t>
    </r>
    <r>
      <rPr>
        <sz val="10"/>
        <color indexed="8"/>
        <rFont val="Calibri"/>
        <family val="2"/>
      </rPr>
      <t>IR a pagar</t>
    </r>
  </si>
  <si>
    <r>
      <t>Redução do CSLL</t>
    </r>
    <r>
      <rPr>
        <sz val="10"/>
        <color indexed="8"/>
        <rFont val="Calibri"/>
        <family val="2"/>
      </rPr>
      <t xml:space="preserve"> a pagar</t>
    </r>
  </si>
  <si>
    <t>Ativo não circulante mantido p/ venda</t>
  </si>
  <si>
    <t>Aumento de Adiantamento a Funcionários</t>
  </si>
  <si>
    <t>Baixa de veículos</t>
  </si>
  <si>
    <t xml:space="preserve">Dividendos a pagar </t>
  </si>
  <si>
    <t>Redução do lucro para distribuição dividendos</t>
  </si>
  <si>
    <t xml:space="preserve">(+) Despesa com Imparidade </t>
  </si>
  <si>
    <r>
      <t xml:space="preserve">Redução das despesas </t>
    </r>
    <r>
      <rPr>
        <sz val="10"/>
        <rFont val="Calibri"/>
        <family val="2"/>
      </rPr>
      <t>pagas antecipadamente</t>
    </r>
  </si>
  <si>
    <r>
      <t xml:space="preserve">Aumento do saldo de </t>
    </r>
    <r>
      <rPr>
        <sz val="10"/>
        <rFont val="Calibri"/>
        <family val="2"/>
      </rPr>
      <t>ICMS a recolher</t>
    </r>
  </si>
  <si>
    <r>
      <t xml:space="preserve">Redução do </t>
    </r>
    <r>
      <rPr>
        <sz val="10"/>
        <rFont val="Calibri"/>
        <family val="2"/>
      </rPr>
      <t>IR a pagar</t>
    </r>
  </si>
  <si>
    <r>
      <t>Redução do CSLL</t>
    </r>
    <r>
      <rPr>
        <sz val="10"/>
        <rFont val="Calibri"/>
        <family val="2"/>
      </rPr>
      <t xml:space="preserve"> a pagar</t>
    </r>
  </si>
  <si>
    <t>Abertura do Capital Social</t>
  </si>
  <si>
    <t>D</t>
  </si>
  <si>
    <t>C</t>
  </si>
  <si>
    <t>Ágio na Emissão de Ações</t>
  </si>
  <si>
    <t>Aquisição de Imobilizado</t>
  </si>
  <si>
    <t>Edifícios e Construções</t>
  </si>
  <si>
    <t xml:space="preserve">Máquinas e Equipamentos </t>
  </si>
  <si>
    <t>Móveis e Utensílios</t>
  </si>
  <si>
    <t>Sala comercial (edificações)</t>
  </si>
  <si>
    <t>Equipamentos 1</t>
  </si>
  <si>
    <t>Equipamentos 2</t>
  </si>
  <si>
    <t>Veículo 1</t>
  </si>
  <si>
    <t>Mobiliários</t>
  </si>
  <si>
    <t>Custo Histórico</t>
  </si>
  <si>
    <t>Vida útil estimada (anos)</t>
  </si>
  <si>
    <t>Depreciação</t>
  </si>
  <si>
    <t>Exercício 2012</t>
  </si>
  <si>
    <t>Aquisição de chocolates</t>
  </si>
  <si>
    <t>Mercadorias para Revenda</t>
  </si>
  <si>
    <t>ICMS a Recuperar</t>
  </si>
  <si>
    <t>Despesas com propaganda e publicidade</t>
  </si>
  <si>
    <t>Propaganda e Publicidade</t>
  </si>
  <si>
    <t>Despesas com treinamento</t>
  </si>
  <si>
    <t>Cursos e Treinamentos</t>
  </si>
  <si>
    <t>Venda de mercadorias</t>
  </si>
  <si>
    <t>Revenda de Mercadorias</t>
  </si>
  <si>
    <t>Custo das Mercadorias Vendidas</t>
  </si>
  <si>
    <t>ICMS sobre Vendas</t>
  </si>
  <si>
    <t>ICMS a Pagar</t>
  </si>
  <si>
    <t>Contratos de Seguros</t>
  </si>
  <si>
    <t>Despesas com frete</t>
  </si>
  <si>
    <t>Despesas com seguros</t>
  </si>
  <si>
    <t>Seguros Prédios/Bens/Estoques</t>
  </si>
  <si>
    <t>FRETE (FOB)</t>
  </si>
  <si>
    <t>10.1</t>
  </si>
  <si>
    <t>Despesas Bancárias</t>
  </si>
  <si>
    <t xml:space="preserve"> Desconto de duplicatas no banco (em 01/11)</t>
  </si>
  <si>
    <t>Juros s/ Descontos de Duplicatas</t>
  </si>
  <si>
    <t>Cálculo dos juros referente aos dois meses</t>
  </si>
  <si>
    <t>Valor Presente do Passivo</t>
  </si>
  <si>
    <t>Valor do Passivo após dois meses</t>
  </si>
  <si>
    <t>Início mês 1</t>
  </si>
  <si>
    <t>Fim mês 1</t>
  </si>
  <si>
    <t>Fim mês 2</t>
  </si>
  <si>
    <t>Fim mês 3</t>
  </si>
  <si>
    <t>Juros</t>
  </si>
  <si>
    <t>Salários</t>
  </si>
  <si>
    <t>Energia Elétrica</t>
  </si>
  <si>
    <t xml:space="preserve">Despesas de manutenção </t>
  </si>
  <si>
    <t>AJUSTES</t>
  </si>
  <si>
    <t>A</t>
  </si>
  <si>
    <t>Despesas com Depreciação</t>
  </si>
  <si>
    <t>Depreciação e Amortização</t>
  </si>
  <si>
    <t>(-) Deprec.de Edificações</t>
  </si>
  <si>
    <t>(-) Deprec.de Máquinas e Equipamentos</t>
  </si>
  <si>
    <t>(-) Deprec.de Veículos</t>
  </si>
  <si>
    <t>(-) Deprec.de Móveis e Utensílios</t>
  </si>
  <si>
    <t>B</t>
  </si>
  <si>
    <t>Apuração dos Impostos</t>
  </si>
  <si>
    <t>Imposto de Renda Pessoa Jurídica</t>
  </si>
  <si>
    <t>Imposto de Renda</t>
  </si>
  <si>
    <t>Contribuição Social sobre o Lucro Líquido</t>
  </si>
  <si>
    <t>Contrib.Social s/Lucro Líquido</t>
  </si>
  <si>
    <t>Encerramento das Contas de Resultado</t>
  </si>
  <si>
    <t>Resultado Líquido do Exercício</t>
  </si>
  <si>
    <t>Lucros Acumulados</t>
  </si>
  <si>
    <t>Apuração do ICMS</t>
  </si>
  <si>
    <t>Desp. c/ seguro</t>
  </si>
  <si>
    <t>Desp. c/ frete</t>
  </si>
  <si>
    <t>Desp. c/ depreciação</t>
  </si>
  <si>
    <t>Desp. manutenção</t>
  </si>
  <si>
    <t>Desp. energia</t>
  </si>
  <si>
    <t>Desp. salários</t>
  </si>
  <si>
    <t xml:space="preserve">Desp. Administrativas </t>
  </si>
  <si>
    <t>Desp. Comerciais</t>
  </si>
  <si>
    <t>Despesa  Financeira</t>
  </si>
  <si>
    <t>Resultado Financeiro Líquido</t>
  </si>
  <si>
    <t>Lucro Operacional</t>
  </si>
  <si>
    <t>Lucro antes do imposto de renda e contribuição social</t>
  </si>
  <si>
    <t>Lucro Líquido do Exercício</t>
  </si>
  <si>
    <t>E</t>
  </si>
  <si>
    <t>Constituição de Reservas</t>
  </si>
  <si>
    <t>F</t>
  </si>
  <si>
    <t>Distribução de Dividendos</t>
  </si>
  <si>
    <t>Dividendos a Pagar</t>
  </si>
  <si>
    <t>G</t>
  </si>
  <si>
    <t>Reservas de Retenção de Lucros</t>
  </si>
  <si>
    <t>RESERVA DE CAPITAL</t>
  </si>
  <si>
    <t>Encerramento da Conta de Lucros Acumulados</t>
  </si>
  <si>
    <t>(6b)</t>
  </si>
  <si>
    <t>(10.1)</t>
  </si>
  <si>
    <t>(6d)</t>
  </si>
  <si>
    <t>(10c)</t>
  </si>
  <si>
    <t>c</t>
  </si>
  <si>
    <t>Contrib. Social s/ Lucro Líquido</t>
  </si>
  <si>
    <t>(6c)</t>
  </si>
  <si>
    <t>10.1)</t>
  </si>
  <si>
    <t>(F)</t>
  </si>
  <si>
    <t>(B2)</t>
  </si>
  <si>
    <t>(E)</t>
  </si>
  <si>
    <t>(C)</t>
  </si>
  <si>
    <t>(G)</t>
  </si>
  <si>
    <t>Depreciação  e Amortização</t>
  </si>
  <si>
    <t>Despesas com Seguros</t>
  </si>
  <si>
    <t>Despesas Financeiras</t>
  </si>
  <si>
    <t>Total Passivo + Patrimônio Líquido</t>
  </si>
  <si>
    <t>TOTAL DO PATRIMÔNIO LÍQUIDO</t>
  </si>
  <si>
    <t>TOTAL DO NÃO CIRCULANTE</t>
  </si>
  <si>
    <t>1.02.03.04.04</t>
  </si>
  <si>
    <t>(-) Deprec. de Móveis e Utensílios</t>
  </si>
  <si>
    <t>1.02.03.04.03</t>
  </si>
  <si>
    <t>(-) Deprec. de Veículos</t>
  </si>
  <si>
    <t>2.03.02.03.01</t>
  </si>
  <si>
    <t xml:space="preserve"> Ágio na emissão de ações</t>
  </si>
  <si>
    <t>1.02.03.04.02</t>
  </si>
  <si>
    <t>(-) Deprec. de Máquinas e Equipamentos</t>
  </si>
  <si>
    <t>2.03.02.03.00</t>
  </si>
  <si>
    <t>Reservas de Capital</t>
  </si>
  <si>
    <t>1.02.03.04.01</t>
  </si>
  <si>
    <t>(-) Deprec. de Edificações</t>
  </si>
  <si>
    <t>2.03.02.01.02</t>
  </si>
  <si>
    <t>1.02.03.04.00</t>
  </si>
  <si>
    <t>(-)Depreciação Acumulada</t>
  </si>
  <si>
    <t>2.03.02.01.01</t>
  </si>
  <si>
    <t>Reseva Legal</t>
  </si>
  <si>
    <t>1.02.03.01.04</t>
  </si>
  <si>
    <t>2.03.02.01.00</t>
  </si>
  <si>
    <t>Reservas de Lucro</t>
  </si>
  <si>
    <t>1.02.03.01.03</t>
  </si>
  <si>
    <t>2.03.02</t>
  </si>
  <si>
    <t>Reservas</t>
  </si>
  <si>
    <t>1.02.03.01.02</t>
  </si>
  <si>
    <t>2.03.01.01.01</t>
  </si>
  <si>
    <t>1.02.03.01.01</t>
  </si>
  <si>
    <t>Edifícios e Contruções</t>
  </si>
  <si>
    <t>2.03.01.01.00</t>
  </si>
  <si>
    <t>1.02.03.01.00</t>
  </si>
  <si>
    <t>2.03.01</t>
  </si>
  <si>
    <t>Capital Social</t>
  </si>
  <si>
    <t>1.02.03</t>
  </si>
  <si>
    <t>2.03</t>
  </si>
  <si>
    <t>1.02</t>
  </si>
  <si>
    <t>TOTAL DO PASSIVO</t>
  </si>
  <si>
    <t>TOTAL DO CIRCULANTE</t>
  </si>
  <si>
    <t>2.01.04.03.02</t>
  </si>
  <si>
    <t>2.01.04.03.00</t>
  </si>
  <si>
    <t>Impostos e Contribuições S/ Receitas</t>
  </si>
  <si>
    <t>1.01.06.01.02</t>
  </si>
  <si>
    <t>Seguros prédios/bens/estoques</t>
  </si>
  <si>
    <t>2.01.04.02.02</t>
  </si>
  <si>
    <t>Contrib. Social s/Lucro Líquido</t>
  </si>
  <si>
    <t>1.01.06.01.00</t>
  </si>
  <si>
    <t>Seguros à apropriar</t>
  </si>
  <si>
    <t>2.01.04.02.01</t>
  </si>
  <si>
    <t>1.01.06</t>
  </si>
  <si>
    <t>Despesas Antecipadas</t>
  </si>
  <si>
    <t>2.01.04.02.00</t>
  </si>
  <si>
    <t>Impostos e Contribuição S/ o Lucro</t>
  </si>
  <si>
    <t>1.01.05.01.01</t>
  </si>
  <si>
    <t>Mercadorias para revenda</t>
  </si>
  <si>
    <t>2.01.04</t>
  </si>
  <si>
    <t>Obrigações Tributárias</t>
  </si>
  <si>
    <t>1.01.05.01.00</t>
  </si>
  <si>
    <t>Estoque de mercadoria</t>
  </si>
  <si>
    <t>2.01.03.04.02</t>
  </si>
  <si>
    <t>1.01.05</t>
  </si>
  <si>
    <t>2.01.03.04.00</t>
  </si>
  <si>
    <t>Folha de Pagamento - Dirigentes</t>
  </si>
  <si>
    <t>1.01.02.01.01</t>
  </si>
  <si>
    <t>2.01.03</t>
  </si>
  <si>
    <t>Obrigações Trabalhistas</t>
  </si>
  <si>
    <t>1.01.02.01.00</t>
  </si>
  <si>
    <t>2.01.01.01.02</t>
  </si>
  <si>
    <t>1.01.02</t>
  </si>
  <si>
    <t>2.01.01.01.01</t>
  </si>
  <si>
    <t>1.01.01.02.01</t>
  </si>
  <si>
    <t>2.01.01.01.00</t>
  </si>
  <si>
    <t>1.01.01.02.00</t>
  </si>
  <si>
    <t>2.01.01</t>
  </si>
  <si>
    <t>Empréstimos e Financiamentos</t>
  </si>
  <si>
    <t>1.01.01</t>
  </si>
  <si>
    <t>Caixa e Equivalentes a caixa</t>
  </si>
  <si>
    <t>2.01</t>
  </si>
  <si>
    <t>1.01</t>
  </si>
  <si>
    <t>PASSIVO E PATRIMÔNIO LÍQUIDO</t>
  </si>
  <si>
    <t>Tempo do Contrato: 24 meses</t>
  </si>
  <si>
    <t>Início: 01 de julho</t>
  </si>
  <si>
    <t>Vigência 24 meses</t>
  </si>
  <si>
    <t>(06 meses)</t>
  </si>
  <si>
    <t>Saldo nos últimos 06 meses (LP)</t>
  </si>
  <si>
    <t>Saldo nos próximos 12 meses (CP)</t>
  </si>
  <si>
    <t>1.02.02</t>
  </si>
  <si>
    <t>1.02.02.01.02</t>
  </si>
  <si>
    <t>Nota</t>
  </si>
  <si>
    <t>Ajuste de Exercícios Anteriores</t>
  </si>
  <si>
    <t>Reversão de Reservas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</si>
</sst>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&quot;R$&quot;\ * #,##0_-;\-&quot;R$&quot;\ * #,##0_-;_-&quot;R$&quot;\ * &quot;-&quot;??_-;_-@_-"/>
    <numFmt numFmtId="166" formatCode="\(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mbria"/>
      <family val="1"/>
    </font>
    <font>
      <b/>
      <sz val="10"/>
      <color indexed="8"/>
      <name val="Calibri"/>
      <family val="2"/>
    </font>
    <font>
      <b/>
      <sz val="10"/>
      <color indexed="8"/>
      <name val="Cambria"/>
      <family val="1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-0.249977111117893"/>
      </top>
      <bottom style="double">
        <color theme="9" tint="-0.249977111117893"/>
      </bottom>
      <diagonal/>
    </border>
    <border>
      <left/>
      <right/>
      <top style="thin">
        <color theme="9" tint="-0.249977111117893"/>
      </top>
      <bottom style="double">
        <color theme="9" tint="-0.249977111117893"/>
      </bottom>
      <diagonal/>
    </border>
    <border>
      <left style="medium">
        <color indexed="64"/>
      </left>
      <right/>
      <top style="thin">
        <color theme="9" tint="-0.249977111117893"/>
      </top>
      <bottom style="double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medium">
        <color indexed="64"/>
      </left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medium">
        <color indexed="64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26">
    <xf numFmtId="0" fontId="0" fillId="0" borderId="0" xfId="0"/>
    <xf numFmtId="0" fontId="4" fillId="0" borderId="0" xfId="0" applyFont="1" applyAlignment="1"/>
    <xf numFmtId="44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44" fontId="0" fillId="0" borderId="12" xfId="0" applyNumberFormat="1" applyBorder="1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/>
    <xf numFmtId="44" fontId="0" fillId="0" borderId="0" xfId="2" applyFont="1"/>
    <xf numFmtId="44" fontId="0" fillId="0" borderId="10" xfId="2" applyFont="1" applyBorder="1"/>
    <xf numFmtId="43" fontId="0" fillId="0" borderId="0" xfId="0" applyNumberFormat="1"/>
    <xf numFmtId="0" fontId="0" fillId="0" borderId="0" xfId="0" applyNumberFormat="1" applyAlignment="1">
      <alignment horizontal="right"/>
    </xf>
    <xf numFmtId="43" fontId="0" fillId="0" borderId="0" xfId="2" applyNumberFormat="1" applyFont="1"/>
    <xf numFmtId="0" fontId="3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43" fontId="0" fillId="0" borderId="10" xfId="1" applyFont="1" applyBorder="1"/>
    <xf numFmtId="41" fontId="0" fillId="0" borderId="10" xfId="2" applyNumberFormat="1" applyFont="1" applyBorder="1"/>
    <xf numFmtId="164" fontId="0" fillId="0" borderId="0" xfId="2" applyNumberFormat="1" applyFont="1"/>
    <xf numFmtId="164" fontId="0" fillId="0" borderId="9" xfId="1" applyNumberFormat="1" applyFont="1" applyBorder="1"/>
    <xf numFmtId="164" fontId="0" fillId="0" borderId="0" xfId="1" applyNumberFormat="1" applyFont="1"/>
    <xf numFmtId="164" fontId="0" fillId="0" borderId="10" xfId="1" applyNumberFormat="1" applyFont="1" applyBorder="1"/>
    <xf numFmtId="0" fontId="0" fillId="0" borderId="12" xfId="0" applyBorder="1"/>
    <xf numFmtId="164" fontId="0" fillId="0" borderId="0" xfId="0" applyNumberFormat="1"/>
    <xf numFmtId="164" fontId="0" fillId="0" borderId="10" xfId="0" applyNumberFormat="1" applyBorder="1"/>
    <xf numFmtId="0" fontId="0" fillId="0" borderId="1" xfId="0" applyBorder="1" applyAlignment="1">
      <alignment horizontal="right"/>
    </xf>
    <xf numFmtId="164" fontId="0" fillId="0" borderId="5" xfId="1" applyNumberFormat="1" applyFont="1" applyBorder="1"/>
    <xf numFmtId="3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right"/>
    </xf>
    <xf numFmtId="4" fontId="0" fillId="0" borderId="9" xfId="0" applyNumberFormat="1" applyBorder="1"/>
    <xf numFmtId="4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5" xfId="2" applyNumberFormat="1" applyFont="1" applyBorder="1"/>
    <xf numFmtId="164" fontId="0" fillId="0" borderId="4" xfId="1" applyNumberFormat="1" applyFont="1" applyBorder="1"/>
    <xf numFmtId="41" fontId="0" fillId="0" borderId="5" xfId="2" applyNumberFormat="1" applyFont="1" applyBorder="1"/>
    <xf numFmtId="43" fontId="0" fillId="0" borderId="4" xfId="2" applyNumberFormat="1" applyFont="1" applyBorder="1"/>
    <xf numFmtId="165" fontId="0" fillId="0" borderId="10" xfId="2" applyNumberFormat="1" applyFont="1" applyBorder="1"/>
    <xf numFmtId="164" fontId="0" fillId="0" borderId="12" xfId="2" applyNumberFormat="1" applyFont="1" applyBorder="1"/>
    <xf numFmtId="4" fontId="0" fillId="0" borderId="5" xfId="0" applyNumberFormat="1" applyBorder="1"/>
    <xf numFmtId="4" fontId="0" fillId="0" borderId="10" xfId="0" applyNumberFormat="1" applyBorder="1"/>
    <xf numFmtId="164" fontId="0" fillId="0" borderId="4" xfId="2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0" fillId="0" borderId="5" xfId="0" applyNumberFormat="1" applyBorder="1"/>
    <xf numFmtId="1" fontId="0" fillId="0" borderId="0" xfId="0" applyNumberFormat="1" applyFill="1" applyBorder="1" applyAlignment="1">
      <alignment horizontal="center"/>
    </xf>
    <xf numFmtId="3" fontId="0" fillId="0" borderId="4" xfId="0" applyNumberFormat="1" applyBorder="1"/>
    <xf numFmtId="4" fontId="0" fillId="0" borderId="4" xfId="0" applyNumberFormat="1" applyBorder="1"/>
    <xf numFmtId="3" fontId="0" fillId="0" borderId="8" xfId="0" applyNumberFormat="1" applyBorder="1"/>
    <xf numFmtId="1" fontId="0" fillId="0" borderId="9" xfId="0" applyNumberFormat="1" applyBorder="1"/>
    <xf numFmtId="4" fontId="0" fillId="0" borderId="12" xfId="0" applyNumberFormat="1" applyBorder="1"/>
    <xf numFmtId="0" fontId="6" fillId="0" borderId="0" xfId="0" applyFont="1"/>
    <xf numFmtId="44" fontId="6" fillId="0" borderId="0" xfId="0" applyNumberFormat="1" applyFont="1"/>
    <xf numFmtId="0" fontId="0" fillId="0" borderId="0" xfId="0"/>
    <xf numFmtId="0" fontId="0" fillId="0" borderId="0" xfId="0" applyFont="1" applyAlignment="1">
      <alignment horizontal="center"/>
    </xf>
    <xf numFmtId="43" fontId="1" fillId="7" borderId="2" xfId="1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3" fontId="0" fillId="7" borderId="2" xfId="1" applyFont="1" applyFill="1" applyBorder="1" applyAlignment="1">
      <alignment horizontal="center"/>
    </xf>
    <xf numFmtId="3" fontId="0" fillId="0" borderId="1" xfId="0" applyNumberFormat="1" applyBorder="1"/>
    <xf numFmtId="2" fontId="0" fillId="0" borderId="0" xfId="1" applyNumberFormat="1" applyFont="1"/>
    <xf numFmtId="2" fontId="0" fillId="0" borderId="1" xfId="1" applyNumberFormat="1" applyFont="1" applyBorder="1"/>
    <xf numFmtId="2" fontId="0" fillId="0" borderId="4" xfId="0" applyNumberFormat="1" applyBorder="1"/>
    <xf numFmtId="2" fontId="0" fillId="0" borderId="10" xfId="1" applyNumberFormat="1" applyFont="1" applyBorder="1"/>
    <xf numFmtId="2" fontId="0" fillId="0" borderId="12" xfId="1" applyNumberFormat="1" applyFont="1" applyBorder="1"/>
    <xf numFmtId="4" fontId="0" fillId="0" borderId="1" xfId="0" applyNumberFormat="1" applyBorder="1" applyAlignment="1">
      <alignment horizontal="center"/>
    </xf>
    <xf numFmtId="164" fontId="0" fillId="0" borderId="0" xfId="2" applyNumberFormat="1" applyFont="1" applyBorder="1"/>
    <xf numFmtId="3" fontId="2" fillId="0" borderId="4" xfId="0" applyNumberFormat="1" applyFont="1" applyBorder="1"/>
    <xf numFmtId="1" fontId="0" fillId="0" borderId="10" xfId="2" applyNumberFormat="1" applyFont="1" applyBorder="1"/>
    <xf numFmtId="2" fontId="0" fillId="0" borderId="4" xfId="1" applyNumberFormat="1" applyFont="1" applyBorder="1"/>
    <xf numFmtId="4" fontId="0" fillId="0" borderId="4" xfId="1" applyNumberFormat="1" applyFont="1" applyBorder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2" applyFont="1" applyFill="1" applyBorder="1"/>
    <xf numFmtId="44" fontId="0" fillId="0" borderId="6" xfId="2" applyFont="1" applyBorder="1"/>
    <xf numFmtId="44" fontId="1" fillId="0" borderId="6" xfId="2" applyFont="1" applyBorder="1" applyAlignment="1">
      <alignment horizontal="center"/>
    </xf>
    <xf numFmtId="44" fontId="1" fillId="0" borderId="0" xfId="2" applyFont="1" applyAlignment="1">
      <alignment horizontal="center"/>
    </xf>
    <xf numFmtId="44" fontId="0" fillId="0" borderId="9" xfId="2" applyFont="1" applyBorder="1"/>
    <xf numFmtId="44" fontId="1" fillId="0" borderId="10" xfId="2" applyFont="1" applyBorder="1" applyAlignment="1">
      <alignment horizontal="center"/>
    </xf>
    <xf numFmtId="44" fontId="0" fillId="0" borderId="0" xfId="2" applyFont="1" applyBorder="1"/>
    <xf numFmtId="44" fontId="1" fillId="0" borderId="0" xfId="2" applyFont="1" applyBorder="1" applyAlignment="1">
      <alignment horizontal="center"/>
    </xf>
    <xf numFmtId="44" fontId="0" fillId="0" borderId="9" xfId="2" applyFont="1" applyBorder="1" applyAlignment="1">
      <alignment horizontal="right"/>
    </xf>
    <xf numFmtId="44" fontId="1" fillId="0" borderId="9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44" fontId="0" fillId="0" borderId="0" xfId="2" applyNumberFormat="1" applyFont="1"/>
    <xf numFmtId="44" fontId="1" fillId="0" borderId="7" xfId="2" applyFont="1" applyBorder="1" applyAlignment="1">
      <alignment horizontal="center"/>
    </xf>
    <xf numFmtId="44" fontId="0" fillId="0" borderId="8" xfId="2" applyFont="1" applyFill="1" applyBorder="1"/>
    <xf numFmtId="44" fontId="4" fillId="0" borderId="0" xfId="2" applyFont="1" applyFill="1" applyBorder="1"/>
    <xf numFmtId="44" fontId="0" fillId="0" borderId="7" xfId="2" applyFont="1" applyBorder="1"/>
    <xf numFmtId="44" fontId="0" fillId="0" borderId="11" xfId="2" applyFont="1" applyBorder="1"/>
    <xf numFmtId="44" fontId="0" fillId="0" borderId="8" xfId="2" applyFont="1" applyBorder="1"/>
    <xf numFmtId="44" fontId="3" fillId="0" borderId="0" xfId="2" applyFont="1" applyAlignment="1">
      <alignment horizontal="center"/>
    </xf>
    <xf numFmtId="44" fontId="1" fillId="0" borderId="12" xfId="2" applyFont="1" applyBorder="1" applyAlignment="1">
      <alignment horizontal="center"/>
    </xf>
    <xf numFmtId="44" fontId="3" fillId="0" borderId="8" xfId="2" applyFont="1" applyFill="1" applyBorder="1" applyAlignment="1">
      <alignment horizontal="center"/>
    </xf>
    <xf numFmtId="44" fontId="3" fillId="0" borderId="3" xfId="2" applyFont="1" applyBorder="1"/>
    <xf numFmtId="44" fontId="3" fillId="0" borderId="8" xfId="2" applyFont="1" applyBorder="1" applyAlignment="1">
      <alignment horizontal="center"/>
    </xf>
    <xf numFmtId="44" fontId="3" fillId="0" borderId="7" xfId="2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44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/>
    <xf numFmtId="41" fontId="0" fillId="15" borderId="5" xfId="2" applyNumberFormat="1" applyFont="1" applyFill="1" applyBorder="1"/>
    <xf numFmtId="4" fontId="0" fillId="0" borderId="8" xfId="0" applyNumberFormat="1" applyBorder="1"/>
    <xf numFmtId="4" fontId="0" fillId="15" borderId="9" xfId="0" applyNumberFormat="1" applyFill="1" applyBorder="1"/>
    <xf numFmtId="4" fontId="0" fillId="0" borderId="5" xfId="2" applyNumberFormat="1" applyFont="1" applyBorder="1"/>
    <xf numFmtId="164" fontId="0" fillId="15" borderId="10" xfId="0" applyNumberFormat="1" applyFill="1" applyBorder="1"/>
    <xf numFmtId="44" fontId="0" fillId="15" borderId="10" xfId="2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15" borderId="10" xfId="0" applyNumberFormat="1" applyFill="1" applyBorder="1"/>
    <xf numFmtId="0" fontId="0" fillId="15" borderId="0" xfId="0" applyFill="1"/>
    <xf numFmtId="4" fontId="0" fillId="15" borderId="7" xfId="0" applyNumberFormat="1" applyFill="1" applyBorder="1"/>
    <xf numFmtId="4" fontId="0" fillId="0" borderId="9" xfId="2" applyNumberFormat="1" applyFont="1" applyBorder="1"/>
    <xf numFmtId="4" fontId="0" fillId="0" borderId="0" xfId="1" applyNumberFormat="1" applyFont="1"/>
    <xf numFmtId="4" fontId="0" fillId="0" borderId="10" xfId="2" applyNumberFormat="1" applyFont="1" applyBorder="1"/>
    <xf numFmtId="4" fontId="0" fillId="0" borderId="12" xfId="2" applyNumberFormat="1" applyFont="1" applyBorder="1"/>
    <xf numFmtId="164" fontId="0" fillId="0" borderId="8" xfId="0" applyNumberFormat="1" applyBorder="1"/>
    <xf numFmtId="0" fontId="0" fillId="15" borderId="9" xfId="0" applyFill="1" applyBorder="1"/>
    <xf numFmtId="4" fontId="0" fillId="15" borderId="0" xfId="0" applyNumberFormat="1" applyFill="1"/>
    <xf numFmtId="4" fontId="0" fillId="0" borderId="0" xfId="0" applyNumberFormat="1" applyBorder="1"/>
    <xf numFmtId="4" fontId="0" fillId="0" borderId="0" xfId="2" applyNumberFormat="1" applyFont="1" applyBorder="1"/>
    <xf numFmtId="2" fontId="0" fillId="0" borderId="0" xfId="0" applyNumberFormat="1" applyBorder="1"/>
    <xf numFmtId="164" fontId="0" fillId="0" borderId="12" xfId="0" applyNumberFormat="1" applyBorder="1"/>
    <xf numFmtId="164" fontId="0" fillId="0" borderId="11" xfId="2" applyNumberFormat="1" applyFont="1" applyBorder="1"/>
    <xf numFmtId="4" fontId="0" fillId="15" borderId="10" xfId="2" applyNumberFormat="1" applyFont="1" applyFill="1" applyBorder="1"/>
    <xf numFmtId="3" fontId="0" fillId="0" borderId="12" xfId="0" applyNumberFormat="1" applyBorder="1"/>
    <xf numFmtId="164" fontId="0" fillId="0" borderId="5" xfId="0" applyNumberFormat="1" applyFill="1" applyBorder="1"/>
    <xf numFmtId="164" fontId="0" fillId="0" borderId="3" xfId="0" applyNumberFormat="1" applyBorder="1"/>
    <xf numFmtId="164" fontId="0" fillId="15" borderId="0" xfId="0" applyNumberFormat="1" applyFill="1"/>
    <xf numFmtId="43" fontId="0" fillId="15" borderId="9" xfId="0" applyNumberFormat="1" applyFill="1" applyBorder="1"/>
    <xf numFmtId="4" fontId="0" fillId="0" borderId="11" xfId="0" applyNumberFormat="1" applyBorder="1"/>
    <xf numFmtId="0" fontId="0" fillId="15" borderId="0" xfId="0" applyFill="1" applyAlignment="1">
      <alignment horizontal="center"/>
    </xf>
    <xf numFmtId="3" fontId="2" fillId="0" borderId="9" xfId="0" applyNumberFormat="1" applyFont="1" applyBorder="1"/>
    <xf numFmtId="4" fontId="0" fillId="0" borderId="9" xfId="1" applyNumberFormat="1" applyFont="1" applyBorder="1"/>
    <xf numFmtId="4" fontId="0" fillId="0" borderId="8" xfId="1" applyNumberFormat="1" applyFont="1" applyBorder="1"/>
    <xf numFmtId="4" fontId="0" fillId="0" borderId="1" xfId="1" applyNumberFormat="1" applyFont="1" applyBorder="1"/>
    <xf numFmtId="2" fontId="0" fillId="0" borderId="1" xfId="0" applyNumberFormat="1" applyBorder="1"/>
    <xf numFmtId="0" fontId="4" fillId="0" borderId="0" xfId="0" applyFont="1" applyAlignment="1">
      <alignment horizontal="right"/>
    </xf>
    <xf numFmtId="3" fontId="4" fillId="0" borderId="5" xfId="0" applyNumberFormat="1" applyFont="1" applyBorder="1"/>
    <xf numFmtId="2" fontId="0" fillId="15" borderId="0" xfId="0" applyNumberFormat="1" applyFill="1"/>
    <xf numFmtId="4" fontId="0" fillId="0" borderId="5" xfId="1" applyNumberFormat="1" applyFont="1" applyBorder="1"/>
    <xf numFmtId="3" fontId="0" fillId="0" borderId="9" xfId="0" applyNumberFormat="1" applyBorder="1"/>
    <xf numFmtId="3" fontId="0" fillId="15" borderId="0" xfId="0" applyNumberFormat="1" applyFill="1"/>
    <xf numFmtId="4" fontId="0" fillId="0" borderId="7" xfId="0" applyNumberFormat="1" applyBorder="1"/>
    <xf numFmtId="4" fontId="0" fillId="0" borderId="3" xfId="0" applyNumberFormat="1" applyBorder="1"/>
    <xf numFmtId="4" fontId="0" fillId="0" borderId="6" xfId="0" applyNumberFormat="1" applyBorder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3" fontId="0" fillId="0" borderId="0" xfId="0" applyNumberFormat="1" applyFill="1" applyBorder="1"/>
    <xf numFmtId="4" fontId="0" fillId="0" borderId="10" xfId="1" applyNumberFormat="1" applyFont="1" applyBorder="1"/>
    <xf numFmtId="0" fontId="0" fillId="15" borderId="10" xfId="0" applyFill="1" applyBorder="1"/>
    <xf numFmtId="4" fontId="0" fillId="15" borderId="0" xfId="1" applyNumberFormat="1" applyFont="1" applyFill="1" applyBorder="1"/>
    <xf numFmtId="3" fontId="0" fillId="0" borderId="10" xfId="0" applyNumberFormat="1" applyBorder="1"/>
    <xf numFmtId="164" fontId="0" fillId="0" borderId="6" xfId="0" applyNumberFormat="1" applyBorder="1"/>
    <xf numFmtId="4" fontId="0" fillId="15" borderId="5" xfId="0" applyNumberFormat="1" applyFill="1" applyBorder="1"/>
    <xf numFmtId="4" fontId="0" fillId="0" borderId="12" xfId="1" applyNumberFormat="1" applyFont="1" applyBorder="1"/>
    <xf numFmtId="4" fontId="0" fillId="15" borderId="10" xfId="1" applyNumberFormat="1" applyFont="1" applyFill="1" applyBorder="1"/>
    <xf numFmtId="3" fontId="0" fillId="0" borderId="6" xfId="0" applyNumberFormat="1" applyBorder="1"/>
    <xf numFmtId="43" fontId="0" fillId="0" borderId="9" xfId="0" applyNumberFormat="1" applyBorder="1"/>
    <xf numFmtId="43" fontId="0" fillId="0" borderId="0" xfId="0" applyNumberFormat="1" applyBorder="1"/>
    <xf numFmtId="164" fontId="0" fillId="15" borderId="5" xfId="1" applyNumberFormat="1" applyFont="1" applyFill="1" applyBorder="1"/>
    <xf numFmtId="3" fontId="0" fillId="15" borderId="9" xfId="0" applyNumberFormat="1" applyFill="1" applyBorder="1"/>
    <xf numFmtId="0" fontId="0" fillId="15" borderId="5" xfId="0" applyFill="1" applyBorder="1"/>
    <xf numFmtId="3" fontId="0" fillId="0" borderId="0" xfId="0" applyNumberFormat="1" applyBorder="1"/>
    <xf numFmtId="4" fontId="0" fillId="0" borderId="9" xfId="0" applyNumberFormat="1" applyFill="1" applyBorder="1"/>
    <xf numFmtId="4" fontId="0" fillId="0" borderId="10" xfId="0" applyNumberFormat="1" applyFill="1" applyBorder="1"/>
    <xf numFmtId="4" fontId="4" fillId="0" borderId="10" xfId="0" applyNumberFormat="1" applyFont="1" applyFill="1" applyBorder="1"/>
    <xf numFmtId="0" fontId="3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16" xfId="0" applyFill="1" applyBorder="1"/>
    <xf numFmtId="0" fontId="3" fillId="0" borderId="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18" xfId="0" applyNumberForma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8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7" borderId="2" xfId="2" applyFont="1" applyFill="1" applyBorder="1" applyAlignment="1">
      <alignment horizontal="center"/>
    </xf>
    <xf numFmtId="44" fontId="1" fillId="0" borderId="2" xfId="2" applyFont="1" applyBorder="1" applyAlignment="1">
      <alignment horizontal="center"/>
    </xf>
    <xf numFmtId="44" fontId="7" fillId="0" borderId="2" xfId="2" applyFont="1" applyBorder="1" applyAlignment="1">
      <alignment horizontal="center" vertical="top"/>
    </xf>
    <xf numFmtId="0" fontId="3" fillId="0" borderId="2" xfId="0" applyFont="1" applyBorder="1" applyAlignment="1">
      <alignment wrapText="1"/>
    </xf>
    <xf numFmtId="44" fontId="0" fillId="0" borderId="2" xfId="0" applyNumberFormat="1" applyBorder="1" applyAlignment="1"/>
    <xf numFmtId="44" fontId="0" fillId="0" borderId="19" xfId="2" applyFont="1" applyFill="1" applyBorder="1"/>
    <xf numFmtId="44" fontId="0" fillId="0" borderId="2" xfId="2" applyFont="1" applyFill="1" applyBorder="1" applyAlignment="1">
      <alignment horizontal="center" vertical="center"/>
    </xf>
    <xf numFmtId="44" fontId="0" fillId="0" borderId="17" xfId="2" applyFont="1" applyFill="1" applyBorder="1" applyAlignment="1">
      <alignment horizontal="center"/>
    </xf>
    <xf numFmtId="44" fontId="0" fillId="0" borderId="19" xfId="2" applyFont="1" applyFill="1" applyBorder="1" applyAlignment="1">
      <alignment horizontal="center" vertical="center"/>
    </xf>
    <xf numFmtId="44" fontId="0" fillId="0" borderId="20" xfId="2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44" fontId="0" fillId="0" borderId="2" xfId="2" applyFont="1" applyFill="1" applyBorder="1" applyAlignment="1">
      <alignment horizontal="center"/>
    </xf>
    <xf numFmtId="44" fontId="0" fillId="0" borderId="2" xfId="2" applyFont="1" applyFill="1" applyBorder="1"/>
    <xf numFmtId="44" fontId="0" fillId="0" borderId="0" xfId="2" applyFont="1" applyFill="1" applyBorder="1" applyAlignment="1">
      <alignment horizontal="center" vertical="center"/>
    </xf>
    <xf numFmtId="44" fontId="0" fillId="0" borderId="0" xfId="2" applyFont="1" applyAlignment="1">
      <alignment horizontal="center"/>
    </xf>
    <xf numFmtId="44" fontId="2" fillId="0" borderId="0" xfId="2" applyFont="1"/>
    <xf numFmtId="44" fontId="0" fillId="0" borderId="2" xfId="2" applyFont="1" applyBorder="1"/>
    <xf numFmtId="44" fontId="0" fillId="0" borderId="2" xfId="2" applyNumberFormat="1" applyFont="1" applyFill="1" applyBorder="1" applyAlignment="1">
      <alignment horizontal="center"/>
    </xf>
    <xf numFmtId="44" fontId="0" fillId="0" borderId="2" xfId="2" applyNumberFormat="1" applyFont="1" applyFill="1" applyBorder="1" applyAlignment="1">
      <alignment horizontal="center" vertical="center"/>
    </xf>
    <xf numFmtId="44" fontId="0" fillId="0" borderId="17" xfId="2" applyNumberFormat="1" applyFont="1" applyFill="1" applyBorder="1" applyAlignment="1">
      <alignment horizontal="center"/>
    </xf>
    <xf numFmtId="44" fontId="0" fillId="0" borderId="2" xfId="2" applyNumberFormat="1" applyFont="1" applyFill="1" applyBorder="1"/>
    <xf numFmtId="44" fontId="0" fillId="0" borderId="19" xfId="2" applyNumberFormat="1" applyFont="1" applyFill="1" applyBorder="1"/>
    <xf numFmtId="44" fontId="0" fillId="0" borderId="19" xfId="2" applyNumberFormat="1" applyFont="1" applyFill="1" applyBorder="1" applyAlignment="1">
      <alignment horizontal="center" vertical="center"/>
    </xf>
    <xf numFmtId="44" fontId="0" fillId="0" borderId="20" xfId="2" applyNumberFormat="1" applyFont="1" applyFill="1" applyBorder="1" applyAlignment="1">
      <alignment horizontal="center"/>
    </xf>
    <xf numFmtId="44" fontId="1" fillId="0" borderId="0" xfId="2" applyFont="1" applyFill="1" applyAlignment="1">
      <alignment horizontal="center"/>
    </xf>
    <xf numFmtId="44" fontId="0" fillId="0" borderId="0" xfId="2" applyFont="1" applyAlignment="1">
      <alignment horizontal="right"/>
    </xf>
    <xf numFmtId="44" fontId="10" fillId="0" borderId="0" xfId="2" applyFont="1" applyFill="1" applyAlignment="1">
      <alignment horizontal="center"/>
    </xf>
    <xf numFmtId="44" fontId="3" fillId="0" borderId="0" xfId="2" applyFont="1" applyFill="1" applyAlignment="1">
      <alignment horizontal="center"/>
    </xf>
    <xf numFmtId="44" fontId="3" fillId="0" borderId="0" xfId="2" applyFont="1" applyAlignment="1">
      <alignment horizontal="right"/>
    </xf>
    <xf numFmtId="0" fontId="0" fillId="0" borderId="0" xfId="0"/>
    <xf numFmtId="44" fontId="0" fillId="0" borderId="0" xfId="2" applyFont="1"/>
    <xf numFmtId="0" fontId="0" fillId="0" borderId="0" xfId="0" applyFont="1" applyAlignment="1">
      <alignment horizontal="center"/>
    </xf>
    <xf numFmtId="44" fontId="0" fillId="0" borderId="2" xfId="2" applyFont="1" applyBorder="1" applyAlignment="1">
      <alignment horizontal="center"/>
    </xf>
    <xf numFmtId="0" fontId="0" fillId="0" borderId="0" xfId="0"/>
    <xf numFmtId="3" fontId="0" fillId="0" borderId="0" xfId="0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Font="1"/>
    <xf numFmtId="3" fontId="7" fillId="0" borderId="2" xfId="0" applyNumberFormat="1" applyFont="1" applyBorder="1" applyAlignment="1">
      <alignment vertical="top"/>
    </xf>
    <xf numFmtId="3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right" vertical="top"/>
    </xf>
    <xf numFmtId="3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3" fontId="11" fillId="7" borderId="2" xfId="0" applyNumberFormat="1" applyFont="1" applyFill="1" applyBorder="1" applyAlignment="1">
      <alignment horizontal="left" vertical="top" indent="2"/>
    </xf>
    <xf numFmtId="3" fontId="11" fillId="7" borderId="2" xfId="0" applyNumberFormat="1" applyFont="1" applyFill="1" applyBorder="1" applyAlignment="1">
      <alignment horizontal="left" vertical="top"/>
    </xf>
    <xf numFmtId="44" fontId="11" fillId="7" borderId="2" xfId="2" applyFont="1" applyFill="1" applyBorder="1" applyAlignment="1">
      <alignment horizontal="center" vertical="top"/>
    </xf>
    <xf numFmtId="3" fontId="0" fillId="0" borderId="2" xfId="0" applyNumberFormat="1" applyBorder="1" applyAlignment="1">
      <alignment horizontal="left" vertical="top" indent="2"/>
    </xf>
    <xf numFmtId="3" fontId="7" fillId="0" borderId="2" xfId="0" applyNumberFormat="1" applyFont="1" applyBorder="1" applyAlignment="1">
      <alignment horizontal="left" vertical="top"/>
    </xf>
    <xf numFmtId="3" fontId="7" fillId="0" borderId="2" xfId="0" applyNumberFormat="1" applyFont="1" applyBorder="1" applyAlignment="1">
      <alignment horizontal="left" vertical="top" indent="2"/>
    </xf>
    <xf numFmtId="3" fontId="0" fillId="0" borderId="2" xfId="0" applyNumberFormat="1" applyBorder="1"/>
    <xf numFmtId="3" fontId="7" fillId="0" borderId="2" xfId="0" applyNumberFormat="1" applyFont="1" applyBorder="1" applyAlignment="1">
      <alignment horizontal="left"/>
    </xf>
    <xf numFmtId="3" fontId="0" fillId="7" borderId="2" xfId="0" applyNumberFormat="1" applyFont="1" applyFill="1" applyBorder="1"/>
    <xf numFmtId="3" fontId="0" fillId="0" borderId="2" xfId="0" applyNumberFormat="1" applyFont="1" applyBorder="1"/>
    <xf numFmtId="44" fontId="7" fillId="0" borderId="2" xfId="2" applyFont="1" applyBorder="1" applyAlignment="1">
      <alignment horizontal="right" vertical="top"/>
    </xf>
    <xf numFmtId="3" fontId="7" fillId="16" borderId="2" xfId="0" applyNumberFormat="1" applyFont="1" applyFill="1" applyBorder="1" applyAlignment="1">
      <alignment horizontal="left" vertical="top" indent="2"/>
    </xf>
    <xf numFmtId="44" fontId="7" fillId="0" borderId="2" xfId="2" applyFont="1" applyBorder="1" applyAlignment="1">
      <alignment horizontal="center"/>
    </xf>
    <xf numFmtId="3" fontId="0" fillId="17" borderId="2" xfId="0" applyNumberFormat="1" applyFont="1" applyFill="1" applyBorder="1"/>
    <xf numFmtId="44" fontId="0" fillId="0" borderId="2" xfId="2" applyFont="1" applyBorder="1" applyAlignment="1">
      <alignment horizontal="center" vertical="top"/>
    </xf>
    <xf numFmtId="3" fontId="0" fillId="0" borderId="5" xfId="0" applyNumberFormat="1" applyFont="1" applyBorder="1"/>
    <xf numFmtId="3" fontId="7" fillId="0" borderId="2" xfId="0" applyNumberFormat="1" applyFont="1" applyFill="1" applyBorder="1" applyAlignment="1">
      <alignment horizontal="left" vertical="top" indent="2"/>
    </xf>
    <xf numFmtId="3" fontId="11" fillId="0" borderId="5" xfId="0" applyNumberFormat="1" applyFont="1" applyBorder="1" applyAlignment="1">
      <alignment vertical="top"/>
    </xf>
    <xf numFmtId="3" fontId="7" fillId="0" borderId="5" xfId="0" applyNumberFormat="1" applyFont="1" applyBorder="1" applyAlignment="1">
      <alignment horizontal="left" vertical="top" indent="2"/>
    </xf>
    <xf numFmtId="3" fontId="7" fillId="0" borderId="5" xfId="0" applyNumberFormat="1" applyFont="1" applyBorder="1" applyAlignment="1">
      <alignment horizontal="left"/>
    </xf>
    <xf numFmtId="4" fontId="0" fillId="0" borderId="0" xfId="0" applyNumberFormat="1" applyFont="1"/>
    <xf numFmtId="44" fontId="7" fillId="0" borderId="2" xfId="2" applyFont="1" applyBorder="1" applyAlignment="1">
      <alignment horizontal="right"/>
    </xf>
    <xf numFmtId="3" fontId="7" fillId="0" borderId="2" xfId="0" applyNumberFormat="1" applyFont="1" applyBorder="1" applyAlignment="1">
      <alignment horizontal="left" vertical="top" indent="3"/>
    </xf>
    <xf numFmtId="3" fontId="0" fillId="0" borderId="2" xfId="0" applyNumberFormat="1" applyFont="1" applyBorder="1" applyAlignment="1">
      <alignment horizontal="left" indent="3"/>
    </xf>
    <xf numFmtId="3" fontId="0" fillId="0" borderId="2" xfId="0" applyNumberFormat="1" applyFont="1" applyFill="1" applyBorder="1"/>
    <xf numFmtId="44" fontId="0" fillId="0" borderId="2" xfId="2" applyFont="1" applyFill="1" applyBorder="1" applyAlignment="1">
      <alignment horizontal="center" vertical="top"/>
    </xf>
    <xf numFmtId="3" fontId="0" fillId="0" borderId="2" xfId="0" applyNumberFormat="1" applyBorder="1" applyAlignment="1">
      <alignment horizontal="left" vertical="top"/>
    </xf>
    <xf numFmtId="3" fontId="0" fillId="17" borderId="2" xfId="0" applyNumberFormat="1" applyFont="1" applyFill="1" applyBorder="1" applyAlignment="1"/>
    <xf numFmtId="3" fontId="11" fillId="7" borderId="2" xfId="0" applyNumberFormat="1" applyFont="1" applyFill="1" applyBorder="1" applyAlignment="1">
      <alignment vertical="top"/>
    </xf>
    <xf numFmtId="44" fontId="7" fillId="7" borderId="2" xfId="2" applyFont="1" applyFill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18" borderId="23" xfId="0" applyFont="1" applyFill="1" applyBorder="1" applyAlignment="1">
      <alignment vertical="center"/>
    </xf>
    <xf numFmtId="0" fontId="13" fillId="0" borderId="23" xfId="0" applyFont="1" applyBorder="1" applyAlignment="1">
      <alignment vertical="center"/>
    </xf>
    <xf numFmtId="3" fontId="13" fillId="0" borderId="24" xfId="0" applyNumberFormat="1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 indent="1"/>
    </xf>
    <xf numFmtId="0" fontId="12" fillId="0" borderId="26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3" fillId="18" borderId="24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 indent="2"/>
    </xf>
    <xf numFmtId="3" fontId="17" fillId="0" borderId="24" xfId="0" applyNumberFormat="1" applyFont="1" applyBorder="1" applyAlignment="1">
      <alignment horizontal="center" vertical="center"/>
    </xf>
    <xf numFmtId="2" fontId="17" fillId="0" borderId="24" xfId="0" applyNumberFormat="1" applyFont="1" applyBorder="1" applyAlignment="1">
      <alignment horizontal="center" vertical="center"/>
    </xf>
    <xf numFmtId="0" fontId="13" fillId="18" borderId="23" xfId="0" applyFont="1" applyFill="1" applyBorder="1" applyAlignment="1">
      <alignment vertical="center"/>
    </xf>
    <xf numFmtId="0" fontId="13" fillId="19" borderId="23" xfId="0" applyFont="1" applyFill="1" applyBorder="1" applyAlignment="1">
      <alignment horizontal="left" vertical="center" indent="2"/>
    </xf>
    <xf numFmtId="0" fontId="13" fillId="19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 indent="3"/>
    </xf>
    <xf numFmtId="43" fontId="17" fillId="0" borderId="24" xfId="1" applyFont="1" applyBorder="1" applyAlignment="1">
      <alignment horizontal="center" vertical="center"/>
    </xf>
    <xf numFmtId="0" fontId="12" fillId="19" borderId="23" xfId="0" applyFont="1" applyFill="1" applyBorder="1" applyAlignment="1">
      <alignment vertical="center"/>
    </xf>
    <xf numFmtId="3" fontId="17" fillId="0" borderId="25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3" fontId="13" fillId="19" borderId="24" xfId="0" applyNumberFormat="1" applyFont="1" applyFill="1" applyBorder="1" applyAlignment="1">
      <alignment horizontal="center" vertical="center"/>
    </xf>
    <xf numFmtId="0" fontId="18" fillId="0" borderId="23" xfId="0" applyFont="1" applyBorder="1" applyAlignment="1">
      <alignment vertical="center"/>
    </xf>
    <xf numFmtId="3" fontId="18" fillId="0" borderId="24" xfId="0" applyNumberFormat="1" applyFont="1" applyBorder="1" applyAlignment="1">
      <alignment horizontal="center" vertical="center"/>
    </xf>
    <xf numFmtId="3" fontId="14" fillId="19" borderId="24" xfId="0" applyNumberFormat="1" applyFont="1" applyFill="1" applyBorder="1" applyAlignment="1">
      <alignment horizontal="center" vertical="center"/>
    </xf>
    <xf numFmtId="0" fontId="20" fillId="18" borderId="23" xfId="0" applyFont="1" applyFill="1" applyBorder="1" applyAlignment="1">
      <alignment vertical="center"/>
    </xf>
    <xf numFmtId="0" fontId="15" fillId="18" borderId="23" xfId="0" applyFont="1" applyFill="1" applyBorder="1" applyAlignment="1">
      <alignment vertical="center"/>
    </xf>
    <xf numFmtId="0" fontId="20" fillId="19" borderId="23" xfId="0" applyFont="1" applyFill="1" applyBorder="1" applyAlignment="1">
      <alignment vertical="center"/>
    </xf>
    <xf numFmtId="44" fontId="7" fillId="0" borderId="2" xfId="2" applyFont="1" applyBorder="1"/>
    <xf numFmtId="44" fontId="11" fillId="0" borderId="2" xfId="2" applyFont="1" applyBorder="1"/>
    <xf numFmtId="44" fontId="11" fillId="0" borderId="2" xfId="2" applyFont="1" applyBorder="1" applyAlignment="1">
      <alignment horizontal="center"/>
    </xf>
    <xf numFmtId="44" fontId="0" fillId="17" borderId="2" xfId="2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13" fillId="0" borderId="28" xfId="0" applyFont="1" applyBorder="1" applyAlignment="1">
      <alignment horizontal="left" vertical="center" indent="1"/>
    </xf>
    <xf numFmtId="44" fontId="12" fillId="18" borderId="24" xfId="2" applyFont="1" applyFill="1" applyBorder="1" applyAlignment="1">
      <alignment horizontal="center" vertical="center"/>
    </xf>
    <xf numFmtId="44" fontId="14" fillId="0" borderId="24" xfId="2" applyFont="1" applyBorder="1" applyAlignment="1">
      <alignment horizontal="center" vertical="center"/>
    </xf>
    <xf numFmtId="44" fontId="13" fillId="0" borderId="24" xfId="2" applyFont="1" applyBorder="1" applyAlignment="1">
      <alignment horizontal="center" vertical="center"/>
    </xf>
    <xf numFmtId="44" fontId="0" fillId="0" borderId="24" xfId="2" applyFont="1" applyBorder="1"/>
    <xf numFmtId="44" fontId="13" fillId="0" borderId="23" xfId="2" applyFont="1" applyBorder="1" applyAlignment="1">
      <alignment horizontal="center" vertical="center"/>
    </xf>
    <xf numFmtId="44" fontId="13" fillId="0" borderId="26" xfId="2" applyFont="1" applyBorder="1" applyAlignment="1">
      <alignment horizontal="center" vertical="center"/>
    </xf>
    <xf numFmtId="44" fontId="13" fillId="18" borderId="24" xfId="2" applyFont="1" applyFill="1" applyBorder="1" applyAlignment="1">
      <alignment horizontal="center" vertical="center"/>
    </xf>
    <xf numFmtId="44" fontId="17" fillId="0" borderId="24" xfId="2" applyFont="1" applyBorder="1" applyAlignment="1">
      <alignment horizontal="center" vertical="center"/>
    </xf>
    <xf numFmtId="44" fontId="2" fillId="0" borderId="24" xfId="2" applyFont="1" applyBorder="1"/>
    <xf numFmtId="3" fontId="7" fillId="0" borderId="0" xfId="0" applyNumberFormat="1" applyFont="1" applyBorder="1" applyAlignment="1">
      <alignment horizontal="left" vertical="top" indent="2"/>
    </xf>
    <xf numFmtId="44" fontId="15" fillId="18" borderId="24" xfId="2" applyFont="1" applyFill="1" applyBorder="1" applyAlignment="1">
      <alignment horizontal="center" vertical="center"/>
    </xf>
    <xf numFmtId="44" fontId="13" fillId="19" borderId="24" xfId="2" applyFont="1" applyFill="1" applyBorder="1" applyAlignment="1">
      <alignment horizontal="center" vertical="center"/>
    </xf>
    <xf numFmtId="44" fontId="23" fillId="18" borderId="24" xfId="2" applyFont="1" applyFill="1" applyBorder="1" applyAlignment="1">
      <alignment horizontal="center" vertical="center"/>
    </xf>
    <xf numFmtId="0" fontId="4" fillId="0" borderId="0" xfId="0" applyFont="1"/>
    <xf numFmtId="43" fontId="0" fillId="0" borderId="0" xfId="0" applyNumberFormat="1" applyFont="1"/>
    <xf numFmtId="4" fontId="13" fillId="0" borderId="22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3" fontId="12" fillId="18" borderId="24" xfId="0" applyNumberFormat="1" applyFont="1" applyFill="1" applyBorder="1" applyAlignment="1">
      <alignment horizontal="center" vertical="center"/>
    </xf>
    <xf numFmtId="4" fontId="12" fillId="18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4" fontId="14" fillId="0" borderId="24" xfId="0" applyNumberFormat="1" applyFont="1" applyBorder="1" applyAlignment="1">
      <alignment horizontal="center" vertical="center"/>
    </xf>
    <xf numFmtId="4" fontId="0" fillId="0" borderId="24" xfId="0" applyNumberFormat="1" applyBorder="1"/>
    <xf numFmtId="4" fontId="13" fillId="0" borderId="0" xfId="0" applyNumberFormat="1" applyFont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5" xfId="0" applyNumberFormat="1" applyFont="1" applyBorder="1" applyAlignment="1">
      <alignment horizontal="center" vertical="center"/>
    </xf>
    <xf numFmtId="43" fontId="1" fillId="0" borderId="0" xfId="1" applyFont="1"/>
    <xf numFmtId="43" fontId="13" fillId="0" borderId="24" xfId="0" applyNumberFormat="1" applyFont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2" fontId="13" fillId="0" borderId="24" xfId="0" applyNumberFormat="1" applyFont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0" fontId="13" fillId="19" borderId="24" xfId="0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23" fillId="18" borderId="24" xfId="0" applyNumberFormat="1" applyFont="1" applyFill="1" applyBorder="1" applyAlignment="1">
      <alignment horizontal="center" vertical="center"/>
    </xf>
    <xf numFmtId="43" fontId="13" fillId="0" borderId="24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Font="1" applyFill="1"/>
    <xf numFmtId="0" fontId="0" fillId="0" borderId="0" xfId="0" applyFill="1"/>
    <xf numFmtId="43" fontId="24" fillId="0" borderId="25" xfId="0" applyNumberFormat="1" applyFont="1" applyFill="1" applyBorder="1" applyAlignment="1">
      <alignment horizontal="center" vertical="center"/>
    </xf>
    <xf numFmtId="43" fontId="25" fillId="0" borderId="25" xfId="0" applyNumberFormat="1" applyFont="1" applyFill="1" applyBorder="1" applyAlignment="1">
      <alignment horizontal="center" vertical="center"/>
    </xf>
    <xf numFmtId="43" fontId="26" fillId="0" borderId="24" xfId="0" applyNumberFormat="1" applyFont="1" applyFill="1" applyBorder="1" applyAlignment="1">
      <alignment horizontal="center" vertical="center"/>
    </xf>
    <xf numFmtId="43" fontId="17" fillId="0" borderId="24" xfId="0" applyNumberFormat="1" applyFont="1" applyFill="1" applyBorder="1" applyAlignment="1">
      <alignment horizontal="center" vertical="center"/>
    </xf>
    <xf numFmtId="43" fontId="26" fillId="0" borderId="26" xfId="0" applyNumberFormat="1" applyFont="1" applyFill="1" applyBorder="1" applyAlignment="1">
      <alignment horizontal="center" vertical="center"/>
    </xf>
    <xf numFmtId="43" fontId="26" fillId="0" borderId="23" xfId="0" applyNumberFormat="1" applyFont="1" applyFill="1" applyBorder="1" applyAlignment="1">
      <alignment horizontal="center" vertical="center"/>
    </xf>
    <xf numFmtId="43" fontId="4" fillId="0" borderId="24" xfId="0" applyNumberFormat="1" applyFont="1" applyFill="1" applyBorder="1"/>
    <xf numFmtId="43" fontId="2" fillId="0" borderId="24" xfId="0" applyNumberFormat="1" applyFont="1" applyFill="1" applyBorder="1"/>
    <xf numFmtId="43" fontId="4" fillId="0" borderId="29" xfId="0" applyNumberFormat="1" applyFont="1" applyFill="1" applyBorder="1"/>
    <xf numFmtId="43" fontId="26" fillId="0" borderId="24" xfId="1" applyNumberFormat="1" applyFont="1" applyFill="1" applyBorder="1" applyAlignment="1">
      <alignment horizontal="center" vertical="center"/>
    </xf>
    <xf numFmtId="43" fontId="4" fillId="0" borderId="0" xfId="0" applyNumberFormat="1" applyFont="1" applyFill="1"/>
    <xf numFmtId="43" fontId="17" fillId="0" borderId="25" xfId="0" applyNumberFormat="1" applyFont="1" applyFill="1" applyBorder="1" applyAlignment="1">
      <alignment horizontal="center" vertical="center"/>
    </xf>
    <xf numFmtId="43" fontId="17" fillId="0" borderId="24" xfId="1" applyNumberFormat="1" applyFont="1" applyFill="1" applyBorder="1" applyAlignment="1">
      <alignment horizontal="center" vertical="center"/>
    </xf>
    <xf numFmtId="43" fontId="12" fillId="0" borderId="24" xfId="0" applyNumberFormat="1" applyFont="1" applyFill="1" applyBorder="1" applyAlignment="1">
      <alignment horizontal="center" vertical="center"/>
    </xf>
    <xf numFmtId="43" fontId="18" fillId="0" borderId="24" xfId="0" applyNumberFormat="1" applyFont="1" applyFill="1" applyBorder="1" applyAlignment="1">
      <alignment horizontal="center" vertical="center"/>
    </xf>
    <xf numFmtId="43" fontId="19" fillId="0" borderId="24" xfId="0" applyNumberFormat="1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 indent="2"/>
    </xf>
    <xf numFmtId="0" fontId="24" fillId="0" borderId="26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3" borderId="23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19" borderId="23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top" wrapText="1"/>
    </xf>
    <xf numFmtId="0" fontId="29" fillId="0" borderId="0" xfId="0" applyFont="1" applyBorder="1" applyAlignment="1">
      <alignment vertical="top"/>
    </xf>
    <xf numFmtId="43" fontId="0" fillId="0" borderId="0" xfId="1" applyFont="1"/>
    <xf numFmtId="43" fontId="0" fillId="0" borderId="2" xfId="1" applyFont="1" applyBorder="1" applyAlignment="1">
      <alignment horizontal="center"/>
    </xf>
    <xf numFmtId="43" fontId="0" fillId="0" borderId="2" xfId="1" applyFont="1" applyBorder="1"/>
    <xf numFmtId="164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30" fillId="0" borderId="0" xfId="0" applyFont="1"/>
    <xf numFmtId="49" fontId="29" fillId="0" borderId="0" xfId="0" applyNumberFormat="1" applyFont="1" applyBorder="1" applyAlignment="1">
      <alignment horizontal="left" vertical="top" wrapText="1"/>
    </xf>
    <xf numFmtId="43" fontId="0" fillId="0" borderId="8" xfId="1" applyFont="1" applyBorder="1"/>
    <xf numFmtId="43" fontId="0" fillId="0" borderId="0" xfId="1" applyFont="1" applyBorder="1"/>
    <xf numFmtId="43" fontId="0" fillId="0" borderId="1" xfId="1" applyFont="1" applyBorder="1"/>
    <xf numFmtId="43" fontId="0" fillId="0" borderId="9" xfId="1" applyFont="1" applyBorder="1"/>
    <xf numFmtId="43" fontId="0" fillId="0" borderId="12" xfId="1" applyFont="1" applyBorder="1"/>
    <xf numFmtId="43" fontId="3" fillId="0" borderId="7" xfId="1" applyFont="1" applyBorder="1"/>
    <xf numFmtId="43" fontId="0" fillId="0" borderId="6" xfId="1" applyFont="1" applyBorder="1"/>
    <xf numFmtId="43" fontId="0" fillId="0" borderId="11" xfId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Fill="1" applyBorder="1" applyAlignment="1"/>
    <xf numFmtId="0" fontId="0" fillId="0" borderId="0" xfId="0" applyFont="1" applyAlignment="1">
      <alignment horizontal="right"/>
    </xf>
    <xf numFmtId="0" fontId="29" fillId="0" borderId="0" xfId="0" applyFont="1"/>
    <xf numFmtId="49" fontId="31" fillId="0" borderId="0" xfId="0" applyNumberFormat="1" applyFont="1" applyFill="1" applyBorder="1" applyAlignment="1">
      <alignment horizontal="left" vertical="top" wrapText="1"/>
    </xf>
    <xf numFmtId="0" fontId="0" fillId="15" borderId="2" xfId="0" applyFill="1" applyBorder="1" applyAlignment="1">
      <alignment horizontal="center"/>
    </xf>
    <xf numFmtId="43" fontId="0" fillId="15" borderId="2" xfId="1" applyFont="1" applyFill="1" applyBorder="1"/>
    <xf numFmtId="18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4" fontId="0" fillId="0" borderId="0" xfId="0" applyNumberFormat="1" applyAlignment="1">
      <alignment horizontal="center" vertical="center"/>
    </xf>
    <xf numFmtId="0" fontId="29" fillId="0" borderId="0" xfId="0" applyFont="1" applyBorder="1"/>
    <xf numFmtId="0" fontId="0" fillId="0" borderId="0" xfId="0" applyFont="1" applyAlignment="1">
      <alignment horizontal="left"/>
    </xf>
    <xf numFmtId="44" fontId="0" fillId="0" borderId="0" xfId="2" applyFont="1" applyAlignment="1">
      <alignment horizontal="left"/>
    </xf>
    <xf numFmtId="0" fontId="0" fillId="0" borderId="0" xfId="0"/>
    <xf numFmtId="0" fontId="0" fillId="0" borderId="1" xfId="0" applyBorder="1"/>
    <xf numFmtId="43" fontId="0" fillId="0" borderId="2" xfId="1" applyNumberFormat="1" applyFont="1" applyBorder="1"/>
    <xf numFmtId="0" fontId="30" fillId="0" borderId="0" xfId="0" applyFont="1" applyAlignment="1">
      <alignment horizontal="left" indent="2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20" borderId="0" xfId="0" applyFont="1" applyFill="1"/>
    <xf numFmtId="0" fontId="0" fillId="20" borderId="0" xfId="0" applyFill="1"/>
    <xf numFmtId="0" fontId="3" fillId="0" borderId="0" xfId="0" applyFont="1" applyAlignment="1"/>
    <xf numFmtId="0" fontId="3" fillId="20" borderId="8" xfId="0" applyFont="1" applyFill="1" applyBorder="1"/>
    <xf numFmtId="0" fontId="3" fillId="0" borderId="0" xfId="0" applyFont="1" applyFill="1"/>
    <xf numFmtId="0" fontId="0" fillId="0" borderId="1" xfId="0" applyFont="1" applyFill="1" applyBorder="1" applyAlignment="1">
      <alignment horizontal="right"/>
    </xf>
    <xf numFmtId="0" fontId="0" fillId="0" borderId="1" xfId="0" applyFont="1" applyBorder="1"/>
    <xf numFmtId="0" fontId="0" fillId="7" borderId="2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indent="1"/>
    </xf>
    <xf numFmtId="43" fontId="6" fillId="0" borderId="0" xfId="0" applyNumberFormat="1" applyFont="1"/>
    <xf numFmtId="0" fontId="3" fillId="0" borderId="0" xfId="0" applyFont="1" applyFill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/>
    </xf>
    <xf numFmtId="164" fontId="1" fillId="7" borderId="2" xfId="1" applyNumberFormat="1" applyFont="1" applyFill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top"/>
    </xf>
    <xf numFmtId="164" fontId="7" fillId="0" borderId="2" xfId="1" applyNumberFormat="1" applyFont="1" applyBorder="1" applyAlignment="1">
      <alignment horizontal="center" vertical="top"/>
    </xf>
    <xf numFmtId="165" fontId="0" fillId="0" borderId="0" xfId="0" applyNumberFormat="1"/>
    <xf numFmtId="165" fontId="0" fillId="0" borderId="0" xfId="2" applyNumberFormat="1" applyFont="1"/>
    <xf numFmtId="165" fontId="0" fillId="0" borderId="1" xfId="2" applyNumberFormat="1" applyFont="1" applyBorder="1" applyAlignment="1">
      <alignment horizontal="center"/>
    </xf>
    <xf numFmtId="165" fontId="3" fillId="20" borderId="0" xfId="2" applyNumberFormat="1" applyFont="1" applyFill="1"/>
    <xf numFmtId="165" fontId="0" fillId="0" borderId="0" xfId="2" applyNumberFormat="1" applyFont="1" applyBorder="1" applyAlignment="1">
      <alignment horizontal="center"/>
    </xf>
    <xf numFmtId="165" fontId="0" fillId="0" borderId="0" xfId="2" applyNumberFormat="1" applyFont="1" applyAlignment="1">
      <alignment horizontal="center"/>
    </xf>
    <xf numFmtId="165" fontId="3" fillId="20" borderId="8" xfId="2" applyNumberFormat="1" applyFont="1" applyFill="1" applyBorder="1"/>
    <xf numFmtId="165" fontId="3" fillId="0" borderId="0" xfId="2" applyNumberFormat="1" applyFont="1" applyFill="1" applyBorder="1"/>
    <xf numFmtId="165" fontId="3" fillId="0" borderId="0" xfId="2" applyNumberFormat="1" applyFont="1" applyBorder="1"/>
    <xf numFmtId="165" fontId="1" fillId="0" borderId="1" xfId="2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5" fontId="0" fillId="0" borderId="1" xfId="2" applyNumberFormat="1" applyFont="1" applyBorder="1"/>
    <xf numFmtId="165" fontId="0" fillId="0" borderId="0" xfId="2" applyNumberFormat="1" applyFont="1" applyBorder="1"/>
    <xf numFmtId="164" fontId="4" fillId="0" borderId="0" xfId="1" applyNumberFormat="1" applyFont="1" applyAlignment="1"/>
    <xf numFmtId="164" fontId="2" fillId="0" borderId="0" xfId="1" applyNumberFormat="1" applyFont="1"/>
    <xf numFmtId="164" fontId="2" fillId="0" borderId="0" xfId="1" applyNumberFormat="1" applyFont="1" applyAlignment="1"/>
    <xf numFmtId="0" fontId="0" fillId="0" borderId="0" xfId="0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Alignment="1">
      <alignment horizontal="center"/>
    </xf>
    <xf numFmtId="164" fontId="0" fillId="15" borderId="0" xfId="1" applyNumberFormat="1" applyFont="1" applyFill="1"/>
    <xf numFmtId="0" fontId="0" fillId="15" borderId="0" xfId="0" applyFill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center"/>
    </xf>
    <xf numFmtId="44" fontId="1" fillId="0" borderId="0" xfId="2" applyFont="1" applyAlignment="1">
      <alignment horizontal="left"/>
    </xf>
    <xf numFmtId="166" fontId="0" fillId="0" borderId="0" xfId="2" applyNumberFormat="1" applyFont="1" applyAlignment="1">
      <alignment horizontal="center"/>
    </xf>
    <xf numFmtId="166" fontId="0" fillId="0" borderId="0" xfId="2" applyNumberFormat="1" applyFont="1"/>
    <xf numFmtId="166" fontId="1" fillId="0" borderId="0" xfId="2" applyNumberFormat="1" applyFont="1" applyAlignment="1">
      <alignment horizontal="left"/>
    </xf>
    <xf numFmtId="166" fontId="2" fillId="0" borderId="0" xfId="2" applyNumberFormat="1" applyFont="1"/>
    <xf numFmtId="44" fontId="3" fillId="0" borderId="0" xfId="2" applyFont="1" applyAlignment="1">
      <alignment horizontal="left"/>
    </xf>
    <xf numFmtId="166" fontId="3" fillId="0" borderId="0" xfId="2" applyNumberFormat="1" applyFont="1" applyAlignment="1">
      <alignment horizontal="center"/>
    </xf>
    <xf numFmtId="165" fontId="1" fillId="0" borderId="10" xfId="2" applyNumberFormat="1" applyFont="1" applyBorder="1" applyAlignment="1">
      <alignment horizontal="center"/>
    </xf>
    <xf numFmtId="166" fontId="0" fillId="0" borderId="0" xfId="2" applyNumberFormat="1" applyFont="1" applyBorder="1" applyAlignment="1">
      <alignment horizontal="right"/>
    </xf>
    <xf numFmtId="44" fontId="4" fillId="0" borderId="10" xfId="2" applyFont="1" applyBorder="1"/>
    <xf numFmtId="44" fontId="1" fillId="0" borderId="0" xfId="2" applyFont="1" applyBorder="1" applyAlignment="1">
      <alignment horizontal="left"/>
    </xf>
    <xf numFmtId="166" fontId="1" fillId="0" borderId="0" xfId="2" applyNumberFormat="1" applyFont="1" applyBorder="1" applyAlignment="1">
      <alignment horizontal="center"/>
    </xf>
    <xf numFmtId="166" fontId="3" fillId="0" borderId="0" xfId="2" applyNumberFormat="1" applyFont="1" applyAlignment="1">
      <alignment horizontal="left"/>
    </xf>
    <xf numFmtId="44" fontId="3" fillId="0" borderId="8" xfId="2" applyNumberFormat="1" applyFont="1" applyBorder="1" applyAlignment="1">
      <alignment horizontal="center"/>
    </xf>
    <xf numFmtId="3" fontId="0" fillId="0" borderId="0" xfId="0" applyNumberFormat="1" applyFill="1"/>
    <xf numFmtId="3" fontId="32" fillId="0" borderId="24" xfId="0" applyNumberFormat="1" applyFont="1" applyFill="1" applyBorder="1" applyAlignment="1">
      <alignment horizontal="center"/>
    </xf>
    <xf numFmtId="3" fontId="32" fillId="0" borderId="29" xfId="0" applyNumberFormat="1" applyFont="1" applyFill="1" applyBorder="1" applyAlignment="1">
      <alignment horizontal="center"/>
    </xf>
    <xf numFmtId="3" fontId="33" fillId="0" borderId="29" xfId="0" applyNumberFormat="1" applyFont="1" applyFill="1" applyBorder="1" applyAlignment="1">
      <alignment horizontal="center"/>
    </xf>
    <xf numFmtId="3" fontId="33" fillId="0" borderId="29" xfId="0" applyNumberFormat="1" applyFont="1" applyFill="1" applyBorder="1" applyAlignment="1">
      <alignment vertical="top"/>
    </xf>
    <xf numFmtId="3" fontId="0" fillId="0" borderId="32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3" fontId="3" fillId="0" borderId="33" xfId="0" applyNumberFormat="1" applyFont="1" applyFill="1" applyBorder="1" applyAlignment="1"/>
    <xf numFmtId="3" fontId="11" fillId="0" borderId="34" xfId="0" applyNumberFormat="1" applyFont="1" applyFill="1" applyBorder="1" applyAlignment="1">
      <alignment horizontal="left" vertical="top" indent="2"/>
    </xf>
    <xf numFmtId="3" fontId="0" fillId="0" borderId="33" xfId="0" applyNumberFormat="1" applyFont="1" applyFill="1" applyBorder="1"/>
    <xf numFmtId="3" fontId="3" fillId="0" borderId="33" xfId="0" applyNumberFormat="1" applyFont="1" applyFill="1" applyBorder="1"/>
    <xf numFmtId="3" fontId="3" fillId="0" borderId="34" xfId="0" applyNumberFormat="1" applyFont="1" applyFill="1" applyBorder="1" applyAlignment="1">
      <alignment horizontal="left" indent="2"/>
    </xf>
    <xf numFmtId="3" fontId="7" fillId="0" borderId="35" xfId="1" applyNumberFormat="1" applyFont="1" applyFill="1" applyBorder="1" applyAlignment="1">
      <alignment horizontal="left" vertical="top"/>
    </xf>
    <xf numFmtId="3" fontId="7" fillId="0" borderId="36" xfId="1" applyNumberFormat="1" applyFont="1" applyFill="1" applyBorder="1" applyAlignment="1">
      <alignment horizontal="left" vertical="top"/>
    </xf>
    <xf numFmtId="3" fontId="7" fillId="0" borderId="36" xfId="0" applyNumberFormat="1" applyFont="1" applyFill="1" applyBorder="1" applyAlignment="1">
      <alignment horizontal="left" vertical="top"/>
    </xf>
    <xf numFmtId="3" fontId="0" fillId="0" borderId="37" xfId="0" applyNumberFormat="1" applyFill="1" applyBorder="1" applyAlignment="1">
      <alignment horizontal="left" vertical="top"/>
    </xf>
    <xf numFmtId="3" fontId="0" fillId="0" borderId="36" xfId="0" applyNumberFormat="1" applyFont="1" applyFill="1" applyBorder="1"/>
    <xf numFmtId="3" fontId="0" fillId="0" borderId="36" xfId="0" applyNumberFormat="1" applyFont="1" applyFill="1" applyBorder="1" applyAlignment="1">
      <alignment horizontal="center"/>
    </xf>
    <xf numFmtId="3" fontId="0" fillId="0" borderId="37" xfId="0" applyNumberFormat="1" applyFont="1" applyFill="1" applyBorder="1"/>
    <xf numFmtId="3" fontId="0" fillId="0" borderId="38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39" xfId="0" applyNumberFormat="1" applyFont="1" applyFill="1" applyBorder="1"/>
    <xf numFmtId="3" fontId="7" fillId="0" borderId="0" xfId="0" applyNumberFormat="1" applyFont="1" applyFill="1" applyBorder="1" applyAlignment="1">
      <alignment horizontal="center" vertical="top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3" fontId="0" fillId="0" borderId="39" xfId="0" applyNumberFormat="1" applyFill="1" applyBorder="1"/>
    <xf numFmtId="3" fontId="7" fillId="0" borderId="38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39" xfId="0" applyNumberFormat="1" applyFont="1" applyFill="1" applyBorder="1" applyAlignment="1">
      <alignment horizontal="left" vertical="top" indent="4"/>
    </xf>
    <xf numFmtId="3" fontId="32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left" vertical="top"/>
    </xf>
    <xf numFmtId="3" fontId="7" fillId="0" borderId="0" xfId="0" applyNumberFormat="1" applyFont="1" applyFill="1" applyBorder="1" applyAlignment="1"/>
    <xf numFmtId="3" fontId="0" fillId="0" borderId="39" xfId="0" applyNumberFormat="1" applyFill="1" applyBorder="1" applyAlignment="1">
      <alignment horizontal="left" indent="4"/>
    </xf>
    <xf numFmtId="3" fontId="7" fillId="0" borderId="0" xfId="0" applyNumberFormat="1" applyFont="1" applyFill="1" applyBorder="1" applyAlignment="1">
      <alignment vertical="top"/>
    </xf>
    <xf numFmtId="3" fontId="0" fillId="0" borderId="0" xfId="0" applyNumberFormat="1" applyFont="1" applyBorder="1"/>
    <xf numFmtId="3" fontId="0" fillId="0" borderId="0" xfId="0" applyNumberFormat="1" applyFill="1" applyBorder="1" applyAlignment="1"/>
    <xf numFmtId="3" fontId="7" fillId="0" borderId="38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11" fillId="0" borderId="39" xfId="0" applyNumberFormat="1" applyFont="1" applyFill="1" applyBorder="1" applyAlignment="1">
      <alignment horizontal="left" vertical="top" indent="3"/>
    </xf>
    <xf numFmtId="3" fontId="7" fillId="0" borderId="38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 vertical="top" indent="2"/>
    </xf>
    <xf numFmtId="3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left"/>
    </xf>
    <xf numFmtId="3" fontId="0" fillId="0" borderId="39" xfId="0" applyNumberFormat="1" applyFont="1" applyFill="1" applyBorder="1" applyAlignment="1">
      <alignment horizontal="left" indent="4"/>
    </xf>
    <xf numFmtId="3" fontId="0" fillId="0" borderId="38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3" fontId="11" fillId="0" borderId="39" xfId="0" applyNumberFormat="1" applyFont="1" applyFill="1" applyBorder="1" applyAlignment="1">
      <alignment horizontal="left" vertical="top" indent="2"/>
    </xf>
    <xf numFmtId="3" fontId="7" fillId="0" borderId="0" xfId="0" applyNumberFormat="1" applyFont="1" applyFill="1" applyBorder="1" applyAlignment="1">
      <alignment horizontal="left" vertical="top"/>
    </xf>
    <xf numFmtId="3" fontId="3" fillId="0" borderId="39" xfId="0" applyNumberFormat="1" applyFont="1" applyFill="1" applyBorder="1" applyAlignment="1">
      <alignment horizontal="left" indent="3"/>
    </xf>
    <xf numFmtId="3" fontId="7" fillId="0" borderId="0" xfId="1" applyNumberFormat="1" applyFont="1" applyFill="1" applyBorder="1" applyAlignment="1">
      <alignment horizontal="center" vertical="top"/>
    </xf>
    <xf numFmtId="3" fontId="7" fillId="0" borderId="0" xfId="1" applyNumberFormat="1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left" vertical="top"/>
    </xf>
    <xf numFmtId="3" fontId="7" fillId="0" borderId="38" xfId="0" applyNumberFormat="1" applyFont="1" applyFill="1" applyBorder="1" applyAlignment="1">
      <alignment horizontal="center" vertical="top"/>
    </xf>
    <xf numFmtId="3" fontId="11" fillId="0" borderId="39" xfId="0" applyNumberFormat="1" applyFont="1" applyFill="1" applyBorder="1" applyAlignment="1">
      <alignment vertical="top"/>
    </xf>
    <xf numFmtId="3" fontId="11" fillId="0" borderId="39" xfId="0" applyNumberFormat="1" applyFont="1" applyFill="1" applyBorder="1" applyAlignment="1">
      <alignment horizontal="left" vertical="top"/>
    </xf>
    <xf numFmtId="3" fontId="7" fillId="0" borderId="39" xfId="0" applyNumberFormat="1" applyFont="1" applyFill="1" applyBorder="1" applyAlignment="1">
      <alignment horizontal="left" vertical="top" indent="2"/>
    </xf>
    <xf numFmtId="3" fontId="7" fillId="0" borderId="35" xfId="0" applyNumberFormat="1" applyFont="1" applyFill="1" applyBorder="1" applyAlignment="1">
      <alignment horizontal="center" vertical="top"/>
    </xf>
    <xf numFmtId="3" fontId="7" fillId="0" borderId="36" xfId="0" applyNumberFormat="1" applyFont="1" applyFill="1" applyBorder="1" applyAlignment="1">
      <alignment horizontal="center" vertical="top"/>
    </xf>
    <xf numFmtId="3" fontId="11" fillId="0" borderId="36" xfId="0" applyNumberFormat="1" applyFont="1" applyFill="1" applyBorder="1" applyAlignment="1">
      <alignment horizontal="center" vertical="top"/>
    </xf>
    <xf numFmtId="3" fontId="11" fillId="0" borderId="37" xfId="0" applyNumberFormat="1" applyFont="1" applyFill="1" applyBorder="1" applyAlignment="1">
      <alignment horizontal="left" vertical="top" indent="2"/>
    </xf>
    <xf numFmtId="3" fontId="7" fillId="0" borderId="40" xfId="1" applyNumberFormat="1" applyFont="1" applyFill="1" applyBorder="1" applyAlignment="1">
      <alignment horizontal="center" vertical="top"/>
    </xf>
    <xf numFmtId="3" fontId="7" fillId="0" borderId="41" xfId="1" applyNumberFormat="1" applyFont="1" applyFill="1" applyBorder="1" applyAlignment="1">
      <alignment horizontal="left" vertical="top"/>
    </xf>
    <xf numFmtId="3" fontId="7" fillId="0" borderId="41" xfId="0" applyNumberFormat="1" applyFont="1" applyFill="1" applyBorder="1" applyAlignment="1">
      <alignment horizontal="center" vertical="top"/>
    </xf>
    <xf numFmtId="3" fontId="11" fillId="0" borderId="41" xfId="0" applyNumberFormat="1" applyFont="1" applyFill="1" applyBorder="1" applyAlignment="1">
      <alignment horizontal="center" vertical="top"/>
    </xf>
    <xf numFmtId="3" fontId="7" fillId="0" borderId="41" xfId="0" applyNumberFormat="1" applyFont="1" applyFill="1" applyBorder="1" applyAlignment="1">
      <alignment horizontal="left" vertical="top"/>
    </xf>
    <xf numFmtId="3" fontId="11" fillId="0" borderId="42" xfId="0" applyNumberFormat="1" applyFont="1" applyFill="1" applyBorder="1" applyAlignment="1">
      <alignment horizontal="left" vertical="top" indent="2"/>
    </xf>
    <xf numFmtId="3" fontId="7" fillId="0" borderId="41" xfId="1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horizontal="left" indent="2"/>
    </xf>
    <xf numFmtId="3" fontId="11" fillId="0" borderId="39" xfId="0" applyNumberFormat="1" applyFont="1" applyFill="1" applyBorder="1" applyAlignment="1">
      <alignment horizontal="left" vertical="center" indent="3"/>
    </xf>
    <xf numFmtId="3" fontId="0" fillId="0" borderId="39" xfId="0" applyNumberFormat="1" applyFill="1" applyBorder="1" applyAlignment="1">
      <alignment horizontal="left" indent="5"/>
    </xf>
    <xf numFmtId="3" fontId="32" fillId="0" borderId="38" xfId="0" applyNumberFormat="1" applyFont="1" applyFill="1" applyBorder="1" applyAlignment="1">
      <alignment horizontal="center" vertical="top"/>
    </xf>
    <xf numFmtId="3" fontId="1" fillId="0" borderId="0" xfId="1" applyNumberFormat="1" applyFont="1" applyFill="1" applyBorder="1" applyAlignment="1">
      <alignment horizontal="center"/>
    </xf>
    <xf numFmtId="3" fontId="3" fillId="0" borderId="39" xfId="0" applyNumberFormat="1" applyFont="1" applyFill="1" applyBorder="1" applyAlignment="1">
      <alignment horizontal="left" vertical="top" indent="3"/>
    </xf>
    <xf numFmtId="3" fontId="11" fillId="0" borderId="0" xfId="0" applyNumberFormat="1" applyFont="1" applyFill="1" applyBorder="1" applyAlignment="1">
      <alignment horizontal="center" vertical="top"/>
    </xf>
    <xf numFmtId="3" fontId="3" fillId="0" borderId="39" xfId="0" applyNumberFormat="1" applyFont="1" applyFill="1" applyBorder="1" applyAlignment="1">
      <alignment horizontal="left" vertical="top" indent="2"/>
    </xf>
    <xf numFmtId="3" fontId="11" fillId="0" borderId="38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3" fontId="11" fillId="0" borderId="39" xfId="0" applyNumberFormat="1" applyFont="1" applyFill="1" applyBorder="1" applyAlignment="1">
      <alignment horizontal="left" vertical="top" indent="1"/>
    </xf>
    <xf numFmtId="3" fontId="7" fillId="0" borderId="22" xfId="0" applyNumberFormat="1" applyFont="1" applyFill="1" applyBorder="1"/>
    <xf numFmtId="3" fontId="7" fillId="0" borderId="43" xfId="0" applyNumberFormat="1" applyFont="1" applyFill="1" applyBorder="1"/>
    <xf numFmtId="3" fontId="7" fillId="0" borderId="43" xfId="0" applyNumberFormat="1" applyFont="1" applyFill="1" applyBorder="1" applyAlignment="1">
      <alignment vertical="top"/>
    </xf>
    <xf numFmtId="3" fontId="7" fillId="0" borderId="44" xfId="0" applyNumberFormat="1" applyFont="1" applyFill="1" applyBorder="1" applyAlignment="1">
      <alignment vertical="top"/>
    </xf>
    <xf numFmtId="3" fontId="7" fillId="0" borderId="39" xfId="0" applyNumberFormat="1" applyFont="1" applyFill="1" applyBorder="1" applyAlignment="1">
      <alignment vertical="top"/>
    </xf>
    <xf numFmtId="3" fontId="11" fillId="21" borderId="22" xfId="0" applyNumberFormat="1" applyFont="1" applyFill="1" applyBorder="1" applyAlignment="1">
      <alignment horizontal="center" vertical="top"/>
    </xf>
    <xf numFmtId="3" fontId="11" fillId="21" borderId="43" xfId="0" applyNumberFormat="1" applyFont="1" applyFill="1" applyBorder="1" applyAlignment="1">
      <alignment horizontal="center" vertical="top"/>
    </xf>
    <xf numFmtId="49" fontId="9" fillId="21" borderId="43" xfId="0" applyNumberFormat="1" applyFont="1" applyFill="1" applyBorder="1" applyAlignment="1">
      <alignment horizontal="center" vertical="top"/>
    </xf>
    <xf numFmtId="49" fontId="34" fillId="21" borderId="43" xfId="0" applyNumberFormat="1" applyFont="1" applyFill="1" applyBorder="1" applyAlignment="1">
      <alignment horizontal="center" vertical="top"/>
    </xf>
    <xf numFmtId="3" fontId="34" fillId="21" borderId="43" xfId="0" applyNumberFormat="1" applyFont="1" applyFill="1" applyBorder="1" applyAlignment="1">
      <alignment vertical="top"/>
    </xf>
    <xf numFmtId="3" fontId="34" fillId="21" borderId="44" xfId="0" applyNumberFormat="1" applyFont="1" applyFill="1" applyBorder="1" applyAlignment="1">
      <alignment vertical="top"/>
    </xf>
    <xf numFmtId="3" fontId="34" fillId="21" borderId="45" xfId="0" applyNumberFormat="1" applyFont="1" applyFill="1" applyBorder="1" applyAlignment="1">
      <alignment horizontal="center" vertical="top"/>
    </xf>
    <xf numFmtId="49" fontId="34" fillId="21" borderId="45" xfId="0" applyNumberFormat="1" applyFont="1" applyFill="1" applyBorder="1" applyAlignment="1">
      <alignment horizontal="center" vertical="top"/>
    </xf>
    <xf numFmtId="3" fontId="34" fillId="21" borderId="45" xfId="0" applyNumberFormat="1" applyFont="1" applyFill="1" applyBorder="1" applyAlignment="1">
      <alignment vertical="top"/>
    </xf>
    <xf numFmtId="3" fontId="34" fillId="21" borderId="27" xfId="0" applyNumberFormat="1" applyFont="1" applyFill="1" applyBorder="1" applyAlignment="1">
      <alignment vertical="top"/>
    </xf>
    <xf numFmtId="43" fontId="0" fillId="0" borderId="0" xfId="0" applyNumberFormat="1" applyAlignment="1">
      <alignment horizontal="center"/>
    </xf>
    <xf numFmtId="3" fontId="33" fillId="0" borderId="29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2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/>
    <xf numFmtId="0" fontId="0" fillId="15" borderId="2" xfId="0" applyFont="1" applyFill="1" applyBorder="1" applyAlignment="1">
      <alignment horizontal="left"/>
    </xf>
    <xf numFmtId="43" fontId="0" fillId="15" borderId="2" xfId="1" applyFont="1" applyFill="1" applyBorder="1" applyAlignment="1">
      <alignment horizontal="center"/>
    </xf>
    <xf numFmtId="43" fontId="1" fillId="15" borderId="2" xfId="1" applyFont="1" applyFill="1" applyBorder="1" applyAlignment="1">
      <alignment horizontal="center"/>
    </xf>
    <xf numFmtId="0" fontId="0" fillId="14" borderId="2" xfId="0" applyFont="1" applyFill="1" applyBorder="1" applyAlignment="1">
      <alignment horizontal="left"/>
    </xf>
    <xf numFmtId="164" fontId="1" fillId="14" borderId="2" xfId="1" applyNumberFormat="1" applyFont="1" applyFill="1" applyBorder="1" applyAlignment="1">
      <alignment horizontal="center"/>
    </xf>
    <xf numFmtId="164" fontId="1" fillId="14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 applyAlignment="1">
      <alignment horizontal="center"/>
    </xf>
    <xf numFmtId="0" fontId="4" fillId="0" borderId="0" xfId="0" applyFont="1"/>
    <xf numFmtId="0" fontId="0" fillId="15" borderId="0" xfId="0" applyFill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3" fillId="10" borderId="3" xfId="2" applyFont="1" applyFill="1" applyBorder="1" applyAlignment="1">
      <alignment horizontal="center"/>
    </xf>
    <xf numFmtId="44" fontId="3" fillId="10" borderId="4" xfId="2" applyFont="1" applyFill="1" applyBorder="1" applyAlignment="1">
      <alignment horizontal="center"/>
    </xf>
    <xf numFmtId="44" fontId="3" fillId="10" borderId="5" xfId="2" applyFont="1" applyFill="1" applyBorder="1" applyAlignment="1">
      <alignment horizontal="center"/>
    </xf>
    <xf numFmtId="44" fontId="3" fillId="9" borderId="3" xfId="2" applyFont="1" applyFill="1" applyBorder="1" applyAlignment="1">
      <alignment horizontal="center"/>
    </xf>
    <xf numFmtId="44" fontId="3" fillId="9" borderId="4" xfId="2" applyFont="1" applyFill="1" applyBorder="1" applyAlignment="1">
      <alignment horizontal="center"/>
    </xf>
    <xf numFmtId="44" fontId="3" fillId="9" borderId="5" xfId="2" applyFont="1" applyFill="1" applyBorder="1" applyAlignment="1">
      <alignment horizontal="center"/>
    </xf>
    <xf numFmtId="44" fontId="3" fillId="14" borderId="3" xfId="2" applyFont="1" applyFill="1" applyBorder="1" applyAlignment="1">
      <alignment horizontal="center"/>
    </xf>
    <xf numFmtId="44" fontId="3" fillId="14" borderId="8" xfId="2" applyFont="1" applyFill="1" applyBorder="1" applyAlignment="1">
      <alignment horizontal="center"/>
    </xf>
    <xf numFmtId="44" fontId="3" fillId="14" borderId="4" xfId="2" applyFont="1" applyFill="1" applyBorder="1" applyAlignment="1">
      <alignment horizontal="center"/>
    </xf>
    <xf numFmtId="44" fontId="3" fillId="14" borderId="5" xfId="2" applyFont="1" applyFill="1" applyBorder="1" applyAlignment="1">
      <alignment horizontal="center"/>
    </xf>
    <xf numFmtId="44" fontId="9" fillId="12" borderId="3" xfId="2" applyFont="1" applyFill="1" applyBorder="1" applyAlignment="1">
      <alignment horizontal="center"/>
    </xf>
    <xf numFmtId="44" fontId="9" fillId="12" borderId="4" xfId="2" applyFont="1" applyFill="1" applyBorder="1" applyAlignment="1">
      <alignment horizontal="center"/>
    </xf>
    <xf numFmtId="44" fontId="9" fillId="12" borderId="5" xfId="2" applyFont="1" applyFill="1" applyBorder="1" applyAlignment="1">
      <alignment horizontal="center"/>
    </xf>
    <xf numFmtId="44" fontId="10" fillId="12" borderId="3" xfId="2" applyFont="1" applyFill="1" applyBorder="1" applyAlignment="1">
      <alignment horizontal="center"/>
    </xf>
    <xf numFmtId="44" fontId="10" fillId="12" borderId="4" xfId="2" applyFont="1" applyFill="1" applyBorder="1" applyAlignment="1">
      <alignment horizontal="center"/>
    </xf>
    <xf numFmtId="44" fontId="10" fillId="12" borderId="5" xfId="2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44" fontId="3" fillId="11" borderId="3" xfId="2" applyFont="1" applyFill="1" applyBorder="1" applyAlignment="1">
      <alignment horizontal="center"/>
    </xf>
    <xf numFmtId="44" fontId="3" fillId="11" borderId="4" xfId="2" applyFont="1" applyFill="1" applyBorder="1" applyAlignment="1">
      <alignment horizontal="center"/>
    </xf>
    <xf numFmtId="44" fontId="3" fillId="11" borderId="5" xfId="2" applyFont="1" applyFill="1" applyBorder="1" applyAlignment="1">
      <alignment horizontal="center"/>
    </xf>
    <xf numFmtId="44" fontId="1" fillId="11" borderId="3" xfId="2" applyFont="1" applyFill="1" applyBorder="1" applyAlignment="1">
      <alignment horizontal="center"/>
    </xf>
    <xf numFmtId="44" fontId="1" fillId="11" borderId="4" xfId="2" applyFont="1" applyFill="1" applyBorder="1" applyAlignment="1">
      <alignment horizontal="center"/>
    </xf>
    <xf numFmtId="44" fontId="1" fillId="11" borderId="5" xfId="2" applyFont="1" applyFill="1" applyBorder="1" applyAlignment="1">
      <alignment horizontal="center"/>
    </xf>
    <xf numFmtId="44" fontId="1" fillId="13" borderId="3" xfId="2" applyFont="1" applyFill="1" applyBorder="1" applyAlignment="1">
      <alignment horizontal="center"/>
    </xf>
    <xf numFmtId="44" fontId="1" fillId="13" borderId="4" xfId="2" applyFont="1" applyFill="1" applyBorder="1" applyAlignment="1">
      <alignment horizontal="center"/>
    </xf>
    <xf numFmtId="44" fontId="1" fillId="13" borderId="5" xfId="2" applyFont="1" applyFill="1" applyBorder="1" applyAlignment="1">
      <alignment horizontal="center"/>
    </xf>
    <xf numFmtId="44" fontId="0" fillId="13" borderId="3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3" fillId="6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0" fillId="0" borderId="3" xfId="0" applyNumberFormat="1" applyBorder="1" applyAlignment="1">
      <alignment horizontal="center" wrapText="1"/>
    </xf>
    <xf numFmtId="44" fontId="0" fillId="0" borderId="4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4" fontId="0" fillId="0" borderId="7" xfId="0" applyNumberFormat="1" applyBorder="1" applyAlignment="1">
      <alignment horizontal="center" wrapText="1"/>
    </xf>
    <xf numFmtId="44" fontId="0" fillId="0" borderId="8" xfId="0" applyNumberFormat="1" applyBorder="1" applyAlignment="1">
      <alignment horizontal="center" wrapText="1"/>
    </xf>
    <xf numFmtId="44" fontId="0" fillId="0" borderId="11" xfId="0" applyNumberFormat="1" applyBorder="1" applyAlignment="1">
      <alignment horizontal="center" wrapText="1"/>
    </xf>
    <xf numFmtId="44" fontId="0" fillId="0" borderId="1" xfId="0" applyNumberFormat="1" applyBorder="1" applyAlignment="1">
      <alignment horizontal="center" wrapText="1"/>
    </xf>
    <xf numFmtId="3" fontId="35" fillId="0" borderId="0" xfId="0" applyNumberFormat="1" applyFont="1" applyFill="1" applyAlignment="1">
      <alignment horizontal="center"/>
    </xf>
    <xf numFmtId="3" fontId="33" fillId="0" borderId="31" xfId="0" applyNumberFormat="1" applyFont="1" applyFill="1" applyBorder="1" applyAlignment="1">
      <alignment horizontal="center" vertical="top"/>
    </xf>
    <xf numFmtId="3" fontId="33" fillId="0" borderId="3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" fontId="12" fillId="0" borderId="27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center" vertical="center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center" vertical="center"/>
    </xf>
    <xf numFmtId="0" fontId="19" fillId="19" borderId="27" xfId="0" applyFont="1" applyFill="1" applyBorder="1" applyAlignment="1">
      <alignment horizontal="center" vertical="center"/>
    </xf>
    <xf numFmtId="0" fontId="19" fillId="19" borderId="25" xfId="0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44" fontId="12" fillId="19" borderId="27" xfId="2" applyFont="1" applyFill="1" applyBorder="1" applyAlignment="1">
      <alignment horizontal="center" vertical="center"/>
    </xf>
    <xf numFmtId="44" fontId="12" fillId="19" borderId="25" xfId="2" applyFont="1" applyFill="1" applyBorder="1" applyAlignment="1">
      <alignment horizontal="center" vertical="center"/>
    </xf>
    <xf numFmtId="44" fontId="13" fillId="18" borderId="27" xfId="2" applyFont="1" applyFill="1" applyBorder="1" applyAlignment="1">
      <alignment horizontal="center" vertical="center"/>
    </xf>
    <xf numFmtId="44" fontId="13" fillId="18" borderId="25" xfId="2" applyFont="1" applyFill="1" applyBorder="1" applyAlignment="1">
      <alignment horizontal="center" vertical="center"/>
    </xf>
    <xf numFmtId="44" fontId="13" fillId="19" borderId="27" xfId="2" applyFont="1" applyFill="1" applyBorder="1" applyAlignment="1">
      <alignment horizontal="center" vertical="center"/>
    </xf>
    <xf numFmtId="44" fontId="13" fillId="19" borderId="25" xfId="2" applyFont="1" applyFill="1" applyBorder="1" applyAlignment="1">
      <alignment horizontal="center" vertical="center"/>
    </xf>
  </cellXfs>
  <cellStyles count="6">
    <cellStyle name="Moeda" xfId="2" builtinId="4"/>
    <cellStyle name="Moeda 2" xfId="3"/>
    <cellStyle name="Normal" xfId="0" builtinId="0"/>
    <cellStyle name="Porcentagem 2" xfId="4"/>
    <cellStyle name="Vírgula" xfId="1" builtinId="3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81</xdr:row>
      <xdr:rowOff>83820</xdr:rowOff>
    </xdr:from>
    <xdr:to>
      <xdr:col>10</xdr:col>
      <xdr:colOff>594360</xdr:colOff>
      <xdr:row>81</xdr:row>
      <xdr:rowOff>83820</xdr:rowOff>
    </xdr:to>
    <xdr:cxnSp macro="">
      <xdr:nvCxnSpPr>
        <xdr:cNvPr id="2" name="Conector de seta reta 1"/>
        <xdr:cNvCxnSpPr>
          <a:cxnSpLocks noChangeShapeType="1"/>
        </xdr:cNvCxnSpPr>
      </xdr:nvCxnSpPr>
      <xdr:spPr bwMode="auto">
        <a:xfrm>
          <a:off x="9471660" y="15156180"/>
          <a:ext cx="25146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327660</xdr:colOff>
      <xdr:row>74</xdr:row>
      <xdr:rowOff>121920</xdr:rowOff>
    </xdr:from>
    <xdr:to>
      <xdr:col>10</xdr:col>
      <xdr:colOff>563880</xdr:colOff>
      <xdr:row>74</xdr:row>
      <xdr:rowOff>121920</xdr:rowOff>
    </xdr:to>
    <xdr:cxnSp macro="">
      <xdr:nvCxnSpPr>
        <xdr:cNvPr id="3" name="Conector de seta reta 2"/>
        <xdr:cNvCxnSpPr>
          <a:cxnSpLocks noChangeShapeType="1"/>
        </xdr:cNvCxnSpPr>
      </xdr:nvCxnSpPr>
      <xdr:spPr bwMode="auto">
        <a:xfrm>
          <a:off x="9456420" y="13914120"/>
          <a:ext cx="23622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213360</xdr:colOff>
      <xdr:row>74</xdr:row>
      <xdr:rowOff>121920</xdr:rowOff>
    </xdr:from>
    <xdr:to>
      <xdr:col>11</xdr:col>
      <xdr:colOff>213360</xdr:colOff>
      <xdr:row>77</xdr:row>
      <xdr:rowOff>167640</xdr:rowOff>
    </xdr:to>
    <xdr:cxnSp macro="">
      <xdr:nvCxnSpPr>
        <xdr:cNvPr id="4" name="Conector de seta reta 3"/>
        <xdr:cNvCxnSpPr>
          <a:cxnSpLocks noChangeShapeType="1"/>
        </xdr:cNvCxnSpPr>
      </xdr:nvCxnSpPr>
      <xdr:spPr bwMode="auto">
        <a:xfrm>
          <a:off x="9951720" y="13914120"/>
          <a:ext cx="0" cy="5943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80</xdr:row>
      <xdr:rowOff>85725</xdr:rowOff>
    </xdr:from>
    <xdr:to>
      <xdr:col>10</xdr:col>
      <xdr:colOff>590550</xdr:colOff>
      <xdr:row>80</xdr:row>
      <xdr:rowOff>85725</xdr:rowOff>
    </xdr:to>
    <xdr:cxnSp macro="">
      <xdr:nvCxnSpPr>
        <xdr:cNvPr id="2" name="Conector de seta reta 1"/>
        <xdr:cNvCxnSpPr>
          <a:cxnSpLocks noChangeShapeType="1"/>
        </xdr:cNvCxnSpPr>
      </xdr:nvCxnSpPr>
      <xdr:spPr bwMode="auto">
        <a:xfrm>
          <a:off x="9296400" y="15039975"/>
          <a:ext cx="2476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</xdr:spPr>
    </xdr:cxnSp>
    <xdr:clientData/>
  </xdr:twoCellAnchor>
  <xdr:twoCellAnchor>
    <xdr:from>
      <xdr:col>10</xdr:col>
      <xdr:colOff>323850</xdr:colOff>
      <xdr:row>73</xdr:row>
      <xdr:rowOff>123825</xdr:rowOff>
    </xdr:from>
    <xdr:to>
      <xdr:col>10</xdr:col>
      <xdr:colOff>561975</xdr:colOff>
      <xdr:row>73</xdr:row>
      <xdr:rowOff>123825</xdr:rowOff>
    </xdr:to>
    <xdr:cxnSp macro="">
      <xdr:nvCxnSpPr>
        <xdr:cNvPr id="3" name="Conector de seta reta 2"/>
        <xdr:cNvCxnSpPr>
          <a:cxnSpLocks noChangeShapeType="1"/>
        </xdr:cNvCxnSpPr>
      </xdr:nvCxnSpPr>
      <xdr:spPr bwMode="auto">
        <a:xfrm>
          <a:off x="9277350" y="13744575"/>
          <a:ext cx="2381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</xdr:spPr>
    </xdr:cxnSp>
    <xdr:clientData/>
  </xdr:twoCellAnchor>
  <xdr:twoCellAnchor>
    <xdr:from>
      <xdr:col>11</xdr:col>
      <xdr:colOff>209550</xdr:colOff>
      <xdr:row>73</xdr:row>
      <xdr:rowOff>123825</xdr:rowOff>
    </xdr:from>
    <xdr:to>
      <xdr:col>11</xdr:col>
      <xdr:colOff>209550</xdr:colOff>
      <xdr:row>76</xdr:row>
      <xdr:rowOff>171450</xdr:rowOff>
    </xdr:to>
    <xdr:cxnSp macro="">
      <xdr:nvCxnSpPr>
        <xdr:cNvPr id="4" name="Conector de seta reta 3"/>
        <xdr:cNvCxnSpPr>
          <a:cxnSpLocks noChangeShapeType="1"/>
        </xdr:cNvCxnSpPr>
      </xdr:nvCxnSpPr>
      <xdr:spPr bwMode="auto">
        <a:xfrm>
          <a:off x="9772650" y="13744575"/>
          <a:ext cx="0" cy="6191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%20vaio/Dropbox/Aulas%20Gradua&#231;&#227;o%20UFPE%202013.1/Contabilidade%20Societ&#225;ria%201/Aula%201/Trabalhos/C&#243;pia%20de%20Trabalho%20-%20Societ&#225;ri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ownloads/Resolu&#231;&#227;o%20Exerc&#237;cio%20Societ&#225;ria%201%20-%202012.2%20%25282%2529%20-%20AJUSTADO%20-%20CECILIA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y%20vaio/Downloads/Demonstra&#231;&#245;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s%20HD/Ci&#234;ncias%20Cont&#225;beis/4&#186;%20Per&#237;odo/Contabilidade%20Societ&#225;ria%201/exerc&#237;cio+2+sala+de+aula+(resolvido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ownloads/exerc&#237;cio%20sobre%20fluxo%20de%20caixa%20(resolvido)%20(3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Lanç x1"/>
      <sheetName val="PLAN DE CONTROLE DO IMOBILIZADO"/>
      <sheetName val="Raz x1"/>
      <sheetName val="RAZONETES Cecilia"/>
      <sheetName val="RESERVAS x1"/>
      <sheetName val="BALANÇO x2"/>
      <sheetName val="BP "/>
      <sheetName val="DMPL x1"/>
      <sheetName val="AVP x2"/>
      <sheetName val="EST x1"/>
      <sheetName val="DRE x1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/>
      <sheetData sheetId="1">
        <row r="5">
          <cell r="D5">
            <v>550000</v>
          </cell>
        </row>
        <row r="6">
          <cell r="D6">
            <v>500000</v>
          </cell>
        </row>
        <row r="7">
          <cell r="D7">
            <v>50000</v>
          </cell>
        </row>
        <row r="11">
          <cell r="D11">
            <v>80000</v>
          </cell>
        </row>
        <row r="12">
          <cell r="D12">
            <v>120000</v>
          </cell>
        </row>
        <row r="13">
          <cell r="D13">
            <v>50000</v>
          </cell>
        </row>
        <row r="14">
          <cell r="D14">
            <v>10000</v>
          </cell>
        </row>
        <row r="15">
          <cell r="D15">
            <v>260000</v>
          </cell>
        </row>
        <row r="19">
          <cell r="D19">
            <v>4150</v>
          </cell>
        </row>
        <row r="20">
          <cell r="D20">
            <v>850.00000000000011</v>
          </cell>
        </row>
        <row r="21">
          <cell r="D21">
            <v>5000</v>
          </cell>
        </row>
        <row r="25">
          <cell r="D25">
            <v>700</v>
          </cell>
        </row>
        <row r="26">
          <cell r="D26">
            <v>700</v>
          </cell>
        </row>
        <row r="30">
          <cell r="D30">
            <v>2000</v>
          </cell>
        </row>
        <row r="31">
          <cell r="D31">
            <v>2000</v>
          </cell>
        </row>
        <row r="35">
          <cell r="D35">
            <v>40000</v>
          </cell>
        </row>
        <row r="36">
          <cell r="D36">
            <v>40000</v>
          </cell>
        </row>
        <row r="38">
          <cell r="D38">
            <v>3320.0000000000005</v>
          </cell>
        </row>
        <row r="39">
          <cell r="D39">
            <v>3320.0000000000005</v>
          </cell>
        </row>
        <row r="41">
          <cell r="D41">
            <v>6800.0000000000009</v>
          </cell>
        </row>
        <row r="42">
          <cell r="D42">
            <v>6800.0000000000009</v>
          </cell>
        </row>
        <row r="44">
          <cell r="D44">
            <v>300</v>
          </cell>
        </row>
        <row r="45">
          <cell r="D45">
            <v>300</v>
          </cell>
        </row>
        <row r="49">
          <cell r="D49">
            <v>2400</v>
          </cell>
        </row>
        <row r="50">
          <cell r="D50">
            <v>2400</v>
          </cell>
        </row>
        <row r="52">
          <cell r="D52">
            <v>600</v>
          </cell>
        </row>
        <row r="53">
          <cell r="D53">
            <v>600</v>
          </cell>
        </row>
        <row r="57">
          <cell r="D57">
            <v>5395</v>
          </cell>
        </row>
        <row r="58">
          <cell r="D58">
            <v>1105</v>
          </cell>
        </row>
        <row r="59">
          <cell r="D59">
            <v>6500</v>
          </cell>
        </row>
        <row r="63">
          <cell r="D63">
            <v>36000</v>
          </cell>
        </row>
        <row r="64">
          <cell r="D64">
            <v>36000</v>
          </cell>
        </row>
        <row r="66">
          <cell r="D66">
            <v>3112.5</v>
          </cell>
        </row>
        <row r="67">
          <cell r="D67">
            <v>3112.5</v>
          </cell>
        </row>
        <row r="69">
          <cell r="D69">
            <v>6120</v>
          </cell>
        </row>
        <row r="70">
          <cell r="D70">
            <v>6120</v>
          </cell>
        </row>
        <row r="74">
          <cell r="D74">
            <v>32500</v>
          </cell>
        </row>
        <row r="75">
          <cell r="D75">
            <v>32500</v>
          </cell>
        </row>
        <row r="77">
          <cell r="D77">
            <v>2593.75</v>
          </cell>
        </row>
        <row r="78">
          <cell r="D78">
            <v>2593.75</v>
          </cell>
        </row>
        <row r="80">
          <cell r="D80">
            <v>5525</v>
          </cell>
        </row>
        <row r="81">
          <cell r="D81">
            <v>5525</v>
          </cell>
        </row>
        <row r="83">
          <cell r="D83">
            <v>150</v>
          </cell>
        </row>
        <row r="84">
          <cell r="D84">
            <v>150</v>
          </cell>
        </row>
        <row r="89">
          <cell r="D89">
            <v>30625.475872778949</v>
          </cell>
        </row>
        <row r="90">
          <cell r="D90">
            <v>1874.5241272210515</v>
          </cell>
        </row>
        <row r="91">
          <cell r="D91">
            <v>32500</v>
          </cell>
        </row>
        <row r="93">
          <cell r="D93">
            <v>150</v>
          </cell>
        </row>
        <row r="94">
          <cell r="D94">
            <v>150</v>
          </cell>
        </row>
        <row r="107">
          <cell r="D107">
            <v>1237.2692252602719</v>
          </cell>
        </row>
        <row r="108">
          <cell r="D108">
            <v>1237.2692252602719</v>
          </cell>
        </row>
        <row r="114">
          <cell r="D114">
            <v>1000</v>
          </cell>
        </row>
        <row r="115">
          <cell r="D115">
            <v>8000</v>
          </cell>
        </row>
        <row r="120">
          <cell r="D120">
            <v>21266.666666666668</v>
          </cell>
        </row>
        <row r="121">
          <cell r="D121">
            <v>1600</v>
          </cell>
        </row>
        <row r="122">
          <cell r="D122">
            <v>8666.6666666666679</v>
          </cell>
        </row>
        <row r="123">
          <cell r="D123">
            <v>10000</v>
          </cell>
        </row>
        <row r="124">
          <cell r="D124">
            <v>1000</v>
          </cell>
        </row>
        <row r="146">
          <cell r="D146">
            <v>1538.6188655664109</v>
          </cell>
        </row>
        <row r="147">
          <cell r="D147">
            <v>1538.6188655664109</v>
          </cell>
        </row>
        <row r="151">
          <cell r="D151">
            <v>17540.255067457081</v>
          </cell>
        </row>
        <row r="156">
          <cell r="D156">
            <v>11693.503378304722</v>
          </cell>
        </row>
        <row r="157">
          <cell r="D157">
            <v>11693.503378304722</v>
          </cell>
        </row>
      </sheetData>
      <sheetData sheetId="2"/>
      <sheetData sheetId="3"/>
      <sheetData sheetId="4"/>
      <sheetData sheetId="5">
        <row r="9">
          <cell r="M9">
            <v>17540.255067457081</v>
          </cell>
        </row>
      </sheetData>
      <sheetData sheetId="6"/>
      <sheetData sheetId="7"/>
      <sheetData sheetId="8"/>
      <sheetData sheetId="9"/>
      <sheetData sheetId="10"/>
      <sheetData sheetId="11">
        <row r="39">
          <cell r="F39">
            <v>11656.203527018264</v>
          </cell>
        </row>
        <row r="40">
          <cell r="F40">
            <v>4196.2332697265747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amentos"/>
      <sheetName val="FICHA DE ESTOQUE"/>
      <sheetName val="RAZONETES"/>
      <sheetName val="DRE"/>
      <sheetName val="APURAÇÃO DAS RESERVAS"/>
      <sheetName val="BALANÇO"/>
      <sheetName val="DMPL"/>
      <sheetName val="Plan1"/>
      <sheetName val="Lançamentos (2)"/>
    </sheetNames>
    <sheetDataSet>
      <sheetData sheetId="0" refreshError="1"/>
      <sheetData sheetId="1" refreshError="1"/>
      <sheetData sheetId="2" refreshError="1"/>
      <sheetData sheetId="3">
        <row r="30">
          <cell r="F30">
            <v>7459.0149999999994</v>
          </cell>
        </row>
        <row r="31">
          <cell r="F31">
            <v>2685.2453999999998</v>
          </cell>
        </row>
      </sheetData>
      <sheetData sheetId="4">
        <row r="6">
          <cell r="F6">
            <v>984.58997999999997</v>
          </cell>
        </row>
        <row r="8">
          <cell r="F8">
            <v>1870.7209619999999</v>
          </cell>
        </row>
        <row r="9">
          <cell r="M9">
            <v>11224.325771999998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ç x1"/>
      <sheetName val="Plan1"/>
      <sheetName val="EST x1"/>
      <sheetName val="Raz x1"/>
      <sheetName val="RAZONETES Cecilia"/>
      <sheetName val="RESERVAS x1"/>
      <sheetName val="BALANÇO x2"/>
      <sheetName val="BP "/>
      <sheetName val="DMPL x1"/>
      <sheetName val="AVP x2"/>
      <sheetName val="DRE x1"/>
      <sheetName val="FC PT 1 "/>
      <sheetName val="FC PT 2 (2)"/>
      <sheetName val="FC PT 3 (2)"/>
      <sheetName val="FC PT 4 (2)"/>
      <sheetName val="BP (2)"/>
      <sheetName val="FC PT 1"/>
      <sheetName val="FC PT 2"/>
      <sheetName val="FC PT 3"/>
      <sheetName val="FC PT 4"/>
    </sheetNames>
    <sheetDataSet>
      <sheetData sheetId="0"/>
      <sheetData sheetId="1"/>
      <sheetData sheetId="2"/>
      <sheetData sheetId="3">
        <row r="57">
          <cell r="C57">
            <v>700</v>
          </cell>
          <cell r="H57">
            <v>9026.25</v>
          </cell>
          <cell r="M57">
            <v>18445</v>
          </cell>
          <cell r="AG57">
            <v>2000</v>
          </cell>
          <cell r="AL57">
            <v>450</v>
          </cell>
          <cell r="AQ57">
            <v>21266.67</v>
          </cell>
          <cell r="AV57">
            <v>600</v>
          </cell>
          <cell r="BA57">
            <v>1387</v>
          </cell>
        </row>
        <row r="70">
          <cell r="D70">
            <v>108500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cálculo - Participações"/>
      <sheetName val="dados"/>
      <sheetName val="DRA"/>
      <sheetName val="BP"/>
      <sheetName val="Apuração das reservas"/>
      <sheetName val="Fluxo de Caixa Direto"/>
      <sheetName val="Fluxo de Caixa Indireto"/>
      <sheetName val="Razonetes"/>
      <sheetName val="DR"/>
      <sheetName val="lançamentos"/>
      <sheetName val="DMPL"/>
      <sheetName val="DVA"/>
    </sheetNames>
    <sheetDataSet>
      <sheetData sheetId="0" refreshError="1"/>
      <sheetData sheetId="1" refreshError="1"/>
      <sheetData sheetId="2" refreshError="1"/>
      <sheetData sheetId="3" refreshError="1">
        <row r="25">
          <cell r="E25" t="str">
            <v>Capital Social Integralizado</v>
          </cell>
        </row>
        <row r="28">
          <cell r="E28" t="str">
            <v>Reserva Legal</v>
          </cell>
        </row>
      </sheetData>
      <sheetData sheetId="4" refreshError="1"/>
      <sheetData sheetId="5" refreshError="1"/>
      <sheetData sheetId="6" refreshError="1"/>
      <sheetData sheetId="7" refreshError="1">
        <row r="74">
          <cell r="J74" t="str">
            <v>Reserva Ret. Lucros</v>
          </cell>
        </row>
        <row r="83">
          <cell r="F83" t="str">
            <v>Luc.ou Prej. Acum.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nçamentos"/>
      <sheetName val="Razonetes"/>
      <sheetName val="Apuração das reservas"/>
      <sheetName val="DR"/>
      <sheetName val="BP "/>
      <sheetName val="Fluxo de Caixa Direto"/>
      <sheetName val="Fluxo de Caixa Indireto"/>
      <sheetName val="BP (2)"/>
      <sheetName val="FC PT 1"/>
      <sheetName val="FC PT 2"/>
      <sheetName val="FC PT 3"/>
    </sheetNames>
    <sheetDataSet>
      <sheetData sheetId="0"/>
      <sheetData sheetId="1"/>
      <sheetData sheetId="2">
        <row r="79">
          <cell r="B79" t="str">
            <v>Res. p/ Contingências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5"/>
  <sheetViews>
    <sheetView showGridLines="0" topLeftCell="A133" zoomScale="200" zoomScaleNormal="200" workbookViewId="0">
      <selection activeCell="C144" sqref="C144"/>
    </sheetView>
  </sheetViews>
  <sheetFormatPr defaultRowHeight="15" x14ac:dyDescent="0.25"/>
  <cols>
    <col min="1" max="1" width="5.28515625" customWidth="1"/>
    <col min="2" max="2" width="10.5703125" style="237" bestFit="1" customWidth="1"/>
    <col min="3" max="3" width="30.85546875" customWidth="1"/>
    <col min="4" max="4" width="4.7109375" customWidth="1"/>
    <col min="5" max="5" width="14.28515625" style="34" bestFit="1" customWidth="1"/>
    <col min="6" max="6" width="14.28515625" bestFit="1" customWidth="1"/>
    <col min="7" max="7" width="15.28515625" customWidth="1"/>
  </cols>
  <sheetData>
    <row r="2" spans="1:5" x14ac:dyDescent="0.25">
      <c r="B2" s="594" t="s">
        <v>0</v>
      </c>
      <c r="C2" s="594"/>
      <c r="D2" s="594"/>
      <c r="E2" s="594"/>
    </row>
    <row r="4" spans="1:5" x14ac:dyDescent="0.25">
      <c r="A4">
        <v>1</v>
      </c>
      <c r="B4" s="593" t="s">
        <v>401</v>
      </c>
      <c r="C4" s="593"/>
      <c r="D4" s="593"/>
    </row>
    <row r="5" spans="1:5" s="345" customFormat="1" x14ac:dyDescent="0.25">
      <c r="B5" s="399"/>
      <c r="C5" s="349"/>
      <c r="D5" s="349"/>
      <c r="E5" s="34"/>
    </row>
    <row r="6" spans="1:5" x14ac:dyDescent="0.25">
      <c r="A6" s="3"/>
      <c r="B6" s="400" t="s">
        <v>402</v>
      </c>
      <c r="C6" s="380" t="s">
        <v>132</v>
      </c>
      <c r="D6" s="1"/>
      <c r="E6" s="34">
        <f>E7+E8</f>
        <v>550000</v>
      </c>
    </row>
    <row r="7" spans="1:5" x14ac:dyDescent="0.25">
      <c r="B7" s="400" t="s">
        <v>403</v>
      </c>
      <c r="C7" s="381" t="s">
        <v>123</v>
      </c>
      <c r="D7" s="344"/>
      <c r="E7" s="34">
        <v>500000</v>
      </c>
    </row>
    <row r="8" spans="1:5" x14ac:dyDescent="0.25">
      <c r="B8" s="400" t="s">
        <v>403</v>
      </c>
      <c r="C8" s="381" t="s">
        <v>404</v>
      </c>
      <c r="D8" s="344"/>
      <c r="E8" s="34">
        <f>E7*10%</f>
        <v>50000</v>
      </c>
    </row>
    <row r="10" spans="1:5" x14ac:dyDescent="0.25">
      <c r="A10" s="3"/>
      <c r="B10" s="592"/>
      <c r="C10" s="592"/>
      <c r="D10" s="592"/>
    </row>
    <row r="11" spans="1:5" x14ac:dyDescent="0.25">
      <c r="A11">
        <v>2</v>
      </c>
      <c r="B11" s="590" t="s">
        <v>405</v>
      </c>
      <c r="C11" s="590"/>
    </row>
    <row r="12" spans="1:5" x14ac:dyDescent="0.25">
      <c r="B12" s="590"/>
      <c r="C12" s="590"/>
    </row>
    <row r="13" spans="1:5" x14ac:dyDescent="0.25">
      <c r="B13" s="237" t="s">
        <v>402</v>
      </c>
      <c r="C13" s="380" t="s">
        <v>406</v>
      </c>
      <c r="E13" s="34">
        <v>80000</v>
      </c>
    </row>
    <row r="14" spans="1:5" x14ac:dyDescent="0.25">
      <c r="A14" s="6"/>
      <c r="B14" s="400" t="s">
        <v>402</v>
      </c>
      <c r="C14" s="380" t="s">
        <v>407</v>
      </c>
      <c r="D14" s="344"/>
      <c r="E14" s="34">
        <v>120000</v>
      </c>
    </row>
    <row r="15" spans="1:5" x14ac:dyDescent="0.25">
      <c r="B15" s="237" t="s">
        <v>402</v>
      </c>
      <c r="C15" s="380" t="s">
        <v>129</v>
      </c>
      <c r="E15" s="34">
        <v>50000</v>
      </c>
    </row>
    <row r="16" spans="1:5" x14ac:dyDescent="0.25">
      <c r="A16" s="19"/>
      <c r="B16" s="237" t="s">
        <v>402</v>
      </c>
      <c r="C16" s="380" t="s">
        <v>408</v>
      </c>
      <c r="E16" s="34">
        <v>10000</v>
      </c>
    </row>
    <row r="17" spans="1:9" x14ac:dyDescent="0.25">
      <c r="B17" s="237" t="s">
        <v>403</v>
      </c>
      <c r="C17" s="380" t="s">
        <v>132</v>
      </c>
      <c r="E17" s="34">
        <f>SUM(E13:E16)</f>
        <v>260000</v>
      </c>
      <c r="G17" s="595"/>
      <c r="H17" s="595"/>
      <c r="I17" s="595"/>
    </row>
    <row r="19" spans="1:9" x14ac:dyDescent="0.25">
      <c r="A19">
        <v>3</v>
      </c>
      <c r="B19" s="237" t="s">
        <v>418</v>
      </c>
    </row>
    <row r="20" spans="1:9" x14ac:dyDescent="0.25">
      <c r="A20" s="3"/>
      <c r="B20" s="592"/>
      <c r="C20" s="592"/>
      <c r="D20" s="592"/>
    </row>
    <row r="21" spans="1:9" x14ac:dyDescent="0.25">
      <c r="B21" s="400" t="s">
        <v>402</v>
      </c>
      <c r="C21" s="380" t="s">
        <v>419</v>
      </c>
      <c r="D21" s="344"/>
      <c r="E21" s="452">
        <f>E23-E22</f>
        <v>4150</v>
      </c>
    </row>
    <row r="22" spans="1:9" x14ac:dyDescent="0.25">
      <c r="B22" s="400" t="s">
        <v>402</v>
      </c>
      <c r="C22" s="380" t="s">
        <v>420</v>
      </c>
      <c r="D22" s="344"/>
      <c r="E22" s="34">
        <f>E23*0.17</f>
        <v>850.00000000000011</v>
      </c>
    </row>
    <row r="23" spans="1:9" x14ac:dyDescent="0.25">
      <c r="B23" s="400" t="s">
        <v>403</v>
      </c>
      <c r="C23" s="380" t="s">
        <v>132</v>
      </c>
      <c r="E23" s="34">
        <f>500*10</f>
        <v>5000</v>
      </c>
    </row>
    <row r="24" spans="1:9" x14ac:dyDescent="0.25">
      <c r="A24" s="6"/>
      <c r="B24" s="587"/>
      <c r="C24" s="587"/>
      <c r="D24" s="587"/>
    </row>
    <row r="25" spans="1:9" x14ac:dyDescent="0.25">
      <c r="A25">
        <v>4</v>
      </c>
      <c r="B25" s="588" t="s">
        <v>421</v>
      </c>
      <c r="C25" s="588"/>
      <c r="D25" s="588"/>
    </row>
    <row r="26" spans="1:9" x14ac:dyDescent="0.25">
      <c r="B26" s="588"/>
      <c r="C26" s="588"/>
      <c r="D26" s="588"/>
    </row>
    <row r="27" spans="1:9" x14ac:dyDescent="0.25">
      <c r="B27" s="237" t="s">
        <v>402</v>
      </c>
      <c r="C27" s="390" t="s">
        <v>422</v>
      </c>
      <c r="E27" s="34">
        <v>700</v>
      </c>
    </row>
    <row r="28" spans="1:9" x14ac:dyDescent="0.25">
      <c r="A28" s="3"/>
      <c r="B28" s="400" t="s">
        <v>403</v>
      </c>
      <c r="C28" s="380" t="s">
        <v>132</v>
      </c>
      <c r="D28" s="347"/>
      <c r="E28" s="34">
        <f>E27</f>
        <v>700</v>
      </c>
    </row>
    <row r="29" spans="1:9" x14ac:dyDescent="0.25">
      <c r="A29" s="19"/>
      <c r="B29" s="588"/>
      <c r="C29" s="588"/>
      <c r="D29" s="588"/>
    </row>
    <row r="30" spans="1:9" x14ac:dyDescent="0.25">
      <c r="A30">
        <v>5</v>
      </c>
      <c r="B30" s="588" t="s">
        <v>423</v>
      </c>
      <c r="C30" s="588"/>
      <c r="D30" s="588"/>
    </row>
    <row r="32" spans="1:9" x14ac:dyDescent="0.25">
      <c r="A32" s="19"/>
      <c r="B32" s="400" t="s">
        <v>402</v>
      </c>
      <c r="C32" s="390" t="s">
        <v>424</v>
      </c>
      <c r="E32" s="34">
        <v>2000</v>
      </c>
    </row>
    <row r="33" spans="1:6" x14ac:dyDescent="0.25">
      <c r="B33" s="400" t="s">
        <v>403</v>
      </c>
      <c r="C33" s="380" t="s">
        <v>132</v>
      </c>
      <c r="E33" s="34">
        <f>E32</f>
        <v>2000</v>
      </c>
    </row>
    <row r="35" spans="1:6" x14ac:dyDescent="0.25">
      <c r="A35" s="19">
        <v>6</v>
      </c>
      <c r="B35" s="588" t="s">
        <v>425</v>
      </c>
      <c r="C35" s="588"/>
      <c r="D35" s="588"/>
    </row>
    <row r="36" spans="1:6" x14ac:dyDescent="0.25">
      <c r="B36" s="588"/>
      <c r="C36" s="588"/>
      <c r="D36" s="588"/>
    </row>
    <row r="37" spans="1:6" x14ac:dyDescent="0.25">
      <c r="B37" s="237" t="s">
        <v>402</v>
      </c>
      <c r="C37" s="380" t="s">
        <v>132</v>
      </c>
      <c r="E37" s="34">
        <f>400*100</f>
        <v>40000</v>
      </c>
    </row>
    <row r="38" spans="1:6" x14ac:dyDescent="0.25">
      <c r="A38" s="19"/>
      <c r="B38" s="400" t="s">
        <v>403</v>
      </c>
      <c r="C38" s="390" t="s">
        <v>426</v>
      </c>
      <c r="D38" s="347"/>
      <c r="E38" s="34">
        <f>E37</f>
        <v>40000</v>
      </c>
    </row>
    <row r="39" spans="1:6" x14ac:dyDescent="0.25">
      <c r="B39" s="588"/>
      <c r="C39" s="588"/>
      <c r="D39" s="588"/>
    </row>
    <row r="40" spans="1:6" x14ac:dyDescent="0.25">
      <c r="B40" s="237" t="s">
        <v>402</v>
      </c>
      <c r="C40" s="390" t="s">
        <v>427</v>
      </c>
      <c r="E40" s="34">
        <f>'EST x1'!H9</f>
        <v>3320.0000000000005</v>
      </c>
    </row>
    <row r="41" spans="1:6" x14ac:dyDescent="0.25">
      <c r="A41" s="3"/>
      <c r="B41" s="400" t="s">
        <v>403</v>
      </c>
      <c r="C41" s="380" t="s">
        <v>419</v>
      </c>
      <c r="D41" s="347"/>
      <c r="E41" s="34">
        <f>E40</f>
        <v>3320.0000000000005</v>
      </c>
    </row>
    <row r="42" spans="1:6" x14ac:dyDescent="0.25">
      <c r="A42" s="19"/>
      <c r="B42" s="588"/>
      <c r="C42" s="588"/>
      <c r="D42" s="588"/>
      <c r="E42" s="588"/>
      <c r="F42" s="2"/>
    </row>
    <row r="43" spans="1:6" x14ac:dyDescent="0.25">
      <c r="B43" s="401" t="s">
        <v>402</v>
      </c>
      <c r="C43" s="390" t="s">
        <v>428</v>
      </c>
      <c r="D43" s="347"/>
      <c r="E43" s="34">
        <f>E37*0.17</f>
        <v>6800.0000000000009</v>
      </c>
    </row>
    <row r="44" spans="1:6" x14ac:dyDescent="0.25">
      <c r="B44" s="401" t="s">
        <v>403</v>
      </c>
      <c r="C44" s="381" t="s">
        <v>429</v>
      </c>
      <c r="E44" s="34">
        <f>E43</f>
        <v>6800.0000000000009</v>
      </c>
    </row>
    <row r="45" spans="1:6" s="345" customFormat="1" x14ac:dyDescent="0.25">
      <c r="B45" s="401"/>
      <c r="C45" s="381"/>
      <c r="E45" s="34"/>
    </row>
    <row r="46" spans="1:6" s="345" customFormat="1" x14ac:dyDescent="0.25">
      <c r="B46" s="401" t="s">
        <v>402</v>
      </c>
      <c r="C46" s="403" t="s">
        <v>431</v>
      </c>
      <c r="E46" s="34">
        <v>300</v>
      </c>
    </row>
    <row r="47" spans="1:6" s="345" customFormat="1" x14ac:dyDescent="0.25">
      <c r="B47" s="401" t="s">
        <v>403</v>
      </c>
      <c r="C47" s="380" t="s">
        <v>132</v>
      </c>
      <c r="E47" s="34">
        <f>E46</f>
        <v>300</v>
      </c>
    </row>
    <row r="48" spans="1:6" x14ac:dyDescent="0.25">
      <c r="C48" s="20"/>
      <c r="D48" s="20"/>
      <c r="E48" s="453"/>
      <c r="F48" s="20"/>
    </row>
    <row r="49" spans="1:8" x14ac:dyDescent="0.25">
      <c r="A49">
        <v>7</v>
      </c>
      <c r="B49" s="237" t="s">
        <v>430</v>
      </c>
      <c r="C49" s="21"/>
      <c r="D49" s="21"/>
      <c r="E49" s="454"/>
      <c r="F49" s="21"/>
    </row>
    <row r="50" spans="1:8" x14ac:dyDescent="0.25">
      <c r="A50" s="19"/>
      <c r="B50" s="590"/>
      <c r="C50" s="590"/>
      <c r="D50" s="590"/>
    </row>
    <row r="51" spans="1:8" x14ac:dyDescent="0.25">
      <c r="B51" s="401" t="s">
        <v>402</v>
      </c>
      <c r="C51" s="380" t="s">
        <v>433</v>
      </c>
      <c r="D51" s="347"/>
      <c r="E51" s="34">
        <v>2400</v>
      </c>
      <c r="F51" t="s">
        <v>586</v>
      </c>
    </row>
    <row r="52" spans="1:8" x14ac:dyDescent="0.25">
      <c r="B52" s="401" t="s">
        <v>403</v>
      </c>
      <c r="C52" s="380" t="s">
        <v>132</v>
      </c>
      <c r="E52" s="34">
        <f>E51</f>
        <v>2400</v>
      </c>
      <c r="F52" t="s">
        <v>587</v>
      </c>
    </row>
    <row r="53" spans="1:8" x14ac:dyDescent="0.25">
      <c r="A53" s="6"/>
      <c r="B53" s="587"/>
      <c r="C53" s="587"/>
      <c r="D53" s="587"/>
      <c r="F53" t="s">
        <v>588</v>
      </c>
    </row>
    <row r="54" spans="1:8" x14ac:dyDescent="0.25">
      <c r="B54" s="401" t="s">
        <v>402</v>
      </c>
      <c r="C54" s="403" t="s">
        <v>432</v>
      </c>
      <c r="E54" s="34">
        <f>E51/24*6</f>
        <v>600</v>
      </c>
    </row>
    <row r="55" spans="1:8" x14ac:dyDescent="0.25">
      <c r="B55" s="401" t="s">
        <v>403</v>
      </c>
      <c r="C55" s="380" t="s">
        <v>433</v>
      </c>
      <c r="E55" s="34">
        <f>E54</f>
        <v>600</v>
      </c>
      <c r="F55" t="s">
        <v>589</v>
      </c>
    </row>
    <row r="56" spans="1:8" x14ac:dyDescent="0.25">
      <c r="F56" t="s">
        <v>591</v>
      </c>
      <c r="H56">
        <f>12*100</f>
        <v>1200</v>
      </c>
    </row>
    <row r="57" spans="1:8" x14ac:dyDescent="0.25">
      <c r="A57">
        <v>8</v>
      </c>
      <c r="B57" s="237" t="s">
        <v>418</v>
      </c>
      <c r="F57" t="s">
        <v>590</v>
      </c>
      <c r="H57">
        <f>100*6</f>
        <v>600</v>
      </c>
    </row>
    <row r="58" spans="1:8" x14ac:dyDescent="0.25">
      <c r="A58" s="3"/>
      <c r="B58" s="587"/>
      <c r="C58" s="587"/>
      <c r="D58" s="587"/>
    </row>
    <row r="59" spans="1:8" x14ac:dyDescent="0.25">
      <c r="A59" s="19"/>
      <c r="B59" s="400" t="s">
        <v>402</v>
      </c>
      <c r="C59" s="380" t="s">
        <v>419</v>
      </c>
      <c r="D59" s="344"/>
      <c r="E59" s="452">
        <f>'EST x1'!K20</f>
        <v>5395</v>
      </c>
    </row>
    <row r="60" spans="1:8" x14ac:dyDescent="0.25">
      <c r="B60" s="400" t="s">
        <v>402</v>
      </c>
      <c r="C60" s="380" t="s">
        <v>420</v>
      </c>
      <c r="D60" s="344"/>
      <c r="E60" s="34">
        <f>'EST x1'!K19</f>
        <v>1105</v>
      </c>
    </row>
    <row r="61" spans="1:8" x14ac:dyDescent="0.25">
      <c r="B61" s="400" t="s">
        <v>403</v>
      </c>
      <c r="C61" s="380" t="s">
        <v>132</v>
      </c>
      <c r="D61" s="345"/>
      <c r="E61" s="34">
        <f>SUM(E59:E60)</f>
        <v>6500</v>
      </c>
    </row>
    <row r="62" spans="1:8" x14ac:dyDescent="0.25">
      <c r="A62" s="19"/>
      <c r="D62" s="22"/>
    </row>
    <row r="63" spans="1:8" s="345" customFormat="1" x14ac:dyDescent="0.25">
      <c r="A63" s="19">
        <v>9</v>
      </c>
      <c r="B63" s="588" t="s">
        <v>425</v>
      </c>
      <c r="C63" s="588"/>
      <c r="D63" s="588"/>
      <c r="E63" s="34"/>
    </row>
    <row r="64" spans="1:8" s="345" customFormat="1" x14ac:dyDescent="0.25">
      <c r="B64" s="588"/>
      <c r="C64" s="588"/>
      <c r="D64" s="588"/>
      <c r="E64" s="34"/>
    </row>
    <row r="65" spans="1:6" s="345" customFormat="1" x14ac:dyDescent="0.25">
      <c r="B65" s="237" t="s">
        <v>402</v>
      </c>
      <c r="C65" s="380" t="s">
        <v>132</v>
      </c>
      <c r="E65" s="34">
        <f>300*120</f>
        <v>36000</v>
      </c>
    </row>
    <row r="66" spans="1:6" s="345" customFormat="1" x14ac:dyDescent="0.25">
      <c r="A66" s="19"/>
      <c r="B66" s="400" t="s">
        <v>403</v>
      </c>
      <c r="C66" s="390" t="s">
        <v>426</v>
      </c>
      <c r="D66" s="347"/>
      <c r="E66" s="34">
        <f>E65</f>
        <v>36000</v>
      </c>
    </row>
    <row r="67" spans="1:6" s="345" customFormat="1" x14ac:dyDescent="0.25">
      <c r="B67" s="588"/>
      <c r="C67" s="588"/>
      <c r="D67" s="588"/>
      <c r="E67" s="34"/>
    </row>
    <row r="68" spans="1:6" s="345" customFormat="1" x14ac:dyDescent="0.25">
      <c r="B68" s="237" t="s">
        <v>402</v>
      </c>
      <c r="C68" s="390" t="s">
        <v>427</v>
      </c>
      <c r="E68" s="34">
        <f>'EST x1'!H11</f>
        <v>3112.5</v>
      </c>
    </row>
    <row r="69" spans="1:6" s="345" customFormat="1" x14ac:dyDescent="0.25">
      <c r="A69" s="351"/>
      <c r="B69" s="400" t="s">
        <v>403</v>
      </c>
      <c r="C69" s="380" t="s">
        <v>419</v>
      </c>
      <c r="D69" s="347"/>
      <c r="E69" s="34">
        <f>E68</f>
        <v>3112.5</v>
      </c>
    </row>
    <row r="70" spans="1:6" s="345" customFormat="1" x14ac:dyDescent="0.25">
      <c r="A70" s="19"/>
      <c r="B70" s="588"/>
      <c r="C70" s="588"/>
      <c r="D70" s="588"/>
      <c r="E70" s="588"/>
      <c r="F70" s="2"/>
    </row>
    <row r="71" spans="1:6" s="345" customFormat="1" x14ac:dyDescent="0.25">
      <c r="B71" s="401" t="s">
        <v>402</v>
      </c>
      <c r="C71" s="390" t="s">
        <v>428</v>
      </c>
      <c r="D71" s="347"/>
      <c r="E71" s="34">
        <f>E65*0.17</f>
        <v>6120</v>
      </c>
    </row>
    <row r="72" spans="1:6" s="345" customFormat="1" x14ac:dyDescent="0.25">
      <c r="B72" s="401" t="s">
        <v>403</v>
      </c>
      <c r="C72" s="381" t="s">
        <v>429</v>
      </c>
      <c r="E72" s="34">
        <f>E71</f>
        <v>6120</v>
      </c>
    </row>
    <row r="73" spans="1:6" s="345" customFormat="1" x14ac:dyDescent="0.25">
      <c r="B73" s="401"/>
      <c r="C73" s="381"/>
      <c r="E73" s="34"/>
    </row>
    <row r="74" spans="1:6" s="345" customFormat="1" x14ac:dyDescent="0.25">
      <c r="A74" s="459">
        <v>10</v>
      </c>
      <c r="B74" s="591" t="s">
        <v>425</v>
      </c>
      <c r="C74" s="591"/>
      <c r="D74" s="591"/>
      <c r="E74" s="458"/>
    </row>
    <row r="75" spans="1:6" s="345" customFormat="1" x14ac:dyDescent="0.25">
      <c r="B75" s="588"/>
      <c r="C75" s="588"/>
      <c r="D75" s="588"/>
      <c r="E75" s="34"/>
    </row>
    <row r="76" spans="1:6" s="345" customFormat="1" x14ac:dyDescent="0.25">
      <c r="B76" s="237" t="s">
        <v>402</v>
      </c>
      <c r="C76" s="404" t="s">
        <v>130</v>
      </c>
      <c r="E76" s="34">
        <f>250*130</f>
        <v>32500</v>
      </c>
    </row>
    <row r="77" spans="1:6" s="345" customFormat="1" x14ac:dyDescent="0.25">
      <c r="A77" s="19"/>
      <c r="B77" s="400" t="s">
        <v>403</v>
      </c>
      <c r="C77" s="390" t="s">
        <v>426</v>
      </c>
      <c r="D77" s="347"/>
      <c r="E77" s="34">
        <f>E76</f>
        <v>32500</v>
      </c>
    </row>
    <row r="78" spans="1:6" s="345" customFormat="1" x14ac:dyDescent="0.25">
      <c r="B78" s="588"/>
      <c r="C78" s="588"/>
      <c r="D78" s="588"/>
      <c r="E78" s="34"/>
    </row>
    <row r="79" spans="1:6" s="345" customFormat="1" x14ac:dyDescent="0.25">
      <c r="B79" s="237" t="s">
        <v>402</v>
      </c>
      <c r="C79" s="390" t="s">
        <v>427</v>
      </c>
      <c r="E79" s="34">
        <f>'EST x1'!H12</f>
        <v>2593.75</v>
      </c>
    </row>
    <row r="80" spans="1:6" s="345" customFormat="1" x14ac:dyDescent="0.25">
      <c r="A80" s="351"/>
      <c r="B80" s="400" t="s">
        <v>403</v>
      </c>
      <c r="C80" s="380" t="s">
        <v>419</v>
      </c>
      <c r="D80" s="347"/>
      <c r="E80" s="34">
        <f>E79</f>
        <v>2593.75</v>
      </c>
    </row>
    <row r="81" spans="1:7" s="345" customFormat="1" x14ac:dyDescent="0.25">
      <c r="A81" s="19"/>
      <c r="B81" s="588"/>
      <c r="C81" s="588"/>
      <c r="D81" s="588"/>
      <c r="E81" s="588"/>
      <c r="F81" s="2"/>
    </row>
    <row r="82" spans="1:7" s="345" customFormat="1" x14ac:dyDescent="0.25">
      <c r="B82" s="401" t="s">
        <v>402</v>
      </c>
      <c r="C82" s="390" t="s">
        <v>428</v>
      </c>
      <c r="D82" s="347"/>
      <c r="E82" s="34">
        <f>E76*0.17</f>
        <v>5525</v>
      </c>
    </row>
    <row r="83" spans="1:7" s="345" customFormat="1" x14ac:dyDescent="0.25">
      <c r="B83" s="401" t="s">
        <v>403</v>
      </c>
      <c r="C83" s="381" t="s">
        <v>429</v>
      </c>
      <c r="E83" s="34">
        <f>E82</f>
        <v>5525</v>
      </c>
    </row>
    <row r="84" spans="1:7" x14ac:dyDescent="0.25">
      <c r="A84" s="19"/>
      <c r="D84" s="22"/>
    </row>
    <row r="85" spans="1:7" s="345" customFormat="1" x14ac:dyDescent="0.25">
      <c r="B85" s="401" t="s">
        <v>402</v>
      </c>
      <c r="C85" s="403" t="s">
        <v>431</v>
      </c>
      <c r="E85" s="34">
        <v>150</v>
      </c>
    </row>
    <row r="86" spans="1:7" s="345" customFormat="1" x14ac:dyDescent="0.25">
      <c r="B86" s="401" t="s">
        <v>403</v>
      </c>
      <c r="C86" s="380" t="s">
        <v>132</v>
      </c>
      <c r="E86" s="34">
        <f>E85</f>
        <v>150</v>
      </c>
    </row>
    <row r="88" spans="1:7" x14ac:dyDescent="0.25">
      <c r="A88" s="407" t="s">
        <v>435</v>
      </c>
      <c r="B88" s="237" t="s">
        <v>437</v>
      </c>
    </row>
    <row r="89" spans="1:7" x14ac:dyDescent="0.25">
      <c r="A89" s="19"/>
    </row>
    <row r="90" spans="1:7" x14ac:dyDescent="0.25">
      <c r="B90" s="237" t="s">
        <v>402</v>
      </c>
      <c r="C90" s="380" t="s">
        <v>132</v>
      </c>
      <c r="E90" s="34">
        <f>(32500)/1.02^3</f>
        <v>30625.475872778949</v>
      </c>
    </row>
    <row r="91" spans="1:7" s="345" customFormat="1" x14ac:dyDescent="0.25">
      <c r="B91" s="237" t="s">
        <v>402</v>
      </c>
      <c r="C91" s="390" t="s">
        <v>236</v>
      </c>
      <c r="E91" s="34">
        <f>E92-E90</f>
        <v>1874.5241272210515</v>
      </c>
    </row>
    <row r="92" spans="1:7" x14ac:dyDescent="0.25">
      <c r="B92" s="237" t="s">
        <v>403</v>
      </c>
      <c r="C92" s="381" t="s">
        <v>135</v>
      </c>
      <c r="D92" s="400"/>
      <c r="E92" s="34">
        <f>E76</f>
        <v>32500</v>
      </c>
      <c r="F92" s="400"/>
      <c r="G92" s="400"/>
    </row>
    <row r="93" spans="1:7" x14ac:dyDescent="0.25">
      <c r="B93" s="400"/>
    </row>
    <row r="94" spans="1:7" x14ac:dyDescent="0.25">
      <c r="A94" s="19"/>
      <c r="B94" s="400" t="s">
        <v>402</v>
      </c>
      <c r="C94" s="390" t="s">
        <v>436</v>
      </c>
      <c r="E94" s="34">
        <v>150</v>
      </c>
    </row>
    <row r="95" spans="1:7" x14ac:dyDescent="0.25">
      <c r="B95" s="400" t="s">
        <v>403</v>
      </c>
      <c r="C95" s="380" t="s">
        <v>132</v>
      </c>
      <c r="E95" s="34">
        <f>E94</f>
        <v>150</v>
      </c>
    </row>
    <row r="96" spans="1:7" x14ac:dyDescent="0.25">
      <c r="C96" s="346"/>
    </row>
    <row r="97" spans="1:7" s="345" customFormat="1" x14ac:dyDescent="0.25">
      <c r="B97" s="237" t="s">
        <v>439</v>
      </c>
      <c r="C97" s="346"/>
      <c r="E97" s="34"/>
    </row>
    <row r="98" spans="1:7" s="345" customFormat="1" x14ac:dyDescent="0.25">
      <c r="B98" s="237"/>
      <c r="C98" s="346"/>
      <c r="E98" s="34"/>
    </row>
    <row r="99" spans="1:7" s="345" customFormat="1" x14ac:dyDescent="0.25">
      <c r="B99" s="323">
        <f>E90</f>
        <v>30625.475872778949</v>
      </c>
      <c r="C99" s="408">
        <f>B99*1.02</f>
        <v>31237.985390234528</v>
      </c>
      <c r="D99" s="589">
        <f>C99*1.02</f>
        <v>31862.74509803922</v>
      </c>
      <c r="E99" s="589"/>
      <c r="F99" s="410">
        <f>D99*1.02</f>
        <v>32500.000000000004</v>
      </c>
      <c r="G99" s="409"/>
    </row>
    <row r="100" spans="1:7" s="345" customFormat="1" x14ac:dyDescent="0.25">
      <c r="B100" s="350" t="s">
        <v>442</v>
      </c>
      <c r="C100" s="346" t="s">
        <v>443</v>
      </c>
      <c r="D100" s="587" t="s">
        <v>444</v>
      </c>
      <c r="E100" s="587"/>
      <c r="F100" s="346" t="s">
        <v>445</v>
      </c>
    </row>
    <row r="101" spans="1:7" s="345" customFormat="1" x14ac:dyDescent="0.25">
      <c r="B101" s="237"/>
      <c r="C101" s="574">
        <f>C99-B99</f>
        <v>612.50951745557904</v>
      </c>
      <c r="E101" s="34">
        <f>D99-C99</f>
        <v>624.75970780469288</v>
      </c>
      <c r="F101" s="138">
        <f>F99-D99</f>
        <v>637.25490196078317</v>
      </c>
      <c r="G101" s="24">
        <f>SUM(C101:E101)</f>
        <v>1237.2692252602719</v>
      </c>
    </row>
    <row r="102" spans="1:7" s="345" customFormat="1" x14ac:dyDescent="0.25">
      <c r="B102" s="237" t="s">
        <v>440</v>
      </c>
      <c r="C102" s="346"/>
      <c r="E102" s="34">
        <f>E90</f>
        <v>30625.475872778949</v>
      </c>
    </row>
    <row r="103" spans="1:7" s="345" customFormat="1" x14ac:dyDescent="0.25">
      <c r="B103" s="237" t="s">
        <v>441</v>
      </c>
      <c r="C103" s="346"/>
      <c r="E103" s="34">
        <f>D99</f>
        <v>31862.74509803922</v>
      </c>
    </row>
    <row r="104" spans="1:7" s="345" customFormat="1" x14ac:dyDescent="0.25">
      <c r="B104" s="237" t="s">
        <v>446</v>
      </c>
      <c r="C104" s="346"/>
      <c r="E104" s="34">
        <f>E103-E102</f>
        <v>1237.2692252602719</v>
      </c>
    </row>
    <row r="105" spans="1:7" s="345" customFormat="1" x14ac:dyDescent="0.25">
      <c r="B105" s="237"/>
      <c r="C105" s="346"/>
      <c r="E105" s="34"/>
    </row>
    <row r="106" spans="1:7" x14ac:dyDescent="0.25">
      <c r="A106" s="3"/>
      <c r="B106" s="400" t="s">
        <v>402</v>
      </c>
      <c r="C106" s="390" t="s">
        <v>438</v>
      </c>
      <c r="D106" s="347"/>
      <c r="E106" s="34">
        <f>E104</f>
        <v>1237.2692252602719</v>
      </c>
      <c r="F106" s="382"/>
    </row>
    <row r="107" spans="1:7" x14ac:dyDescent="0.25">
      <c r="B107" s="400" t="s">
        <v>403</v>
      </c>
      <c r="C107" s="390" t="s">
        <v>236</v>
      </c>
      <c r="E107" s="34">
        <f>E106</f>
        <v>1237.2692252602719</v>
      </c>
    </row>
    <row r="109" spans="1:7" x14ac:dyDescent="0.25">
      <c r="A109">
        <v>11</v>
      </c>
      <c r="B109" s="237" t="s">
        <v>402</v>
      </c>
      <c r="C109" s="390" t="s">
        <v>447</v>
      </c>
      <c r="E109" s="34">
        <v>5000</v>
      </c>
    </row>
    <row r="110" spans="1:7" x14ac:dyDescent="0.25">
      <c r="B110" s="237" t="s">
        <v>402</v>
      </c>
      <c r="C110" s="390" t="s">
        <v>448</v>
      </c>
      <c r="E110" s="34">
        <v>2000</v>
      </c>
    </row>
    <row r="111" spans="1:7" x14ac:dyDescent="0.25">
      <c r="B111" s="237" t="s">
        <v>402</v>
      </c>
      <c r="C111" s="411" t="s">
        <v>449</v>
      </c>
      <c r="D111" s="347"/>
      <c r="E111" s="34">
        <v>1000</v>
      </c>
      <c r="F111" s="347"/>
    </row>
    <row r="112" spans="1:7" x14ac:dyDescent="0.25">
      <c r="B112" s="400" t="s">
        <v>403</v>
      </c>
      <c r="C112" s="380" t="s">
        <v>132</v>
      </c>
      <c r="E112" s="34">
        <f>SUM(E109:E111)</f>
        <v>8000</v>
      </c>
    </row>
    <row r="113" spans="1:6" x14ac:dyDescent="0.25">
      <c r="B113" s="587"/>
      <c r="C113" s="587"/>
      <c r="D113" s="587"/>
    </row>
    <row r="114" spans="1:6" x14ac:dyDescent="0.25">
      <c r="A114" t="s">
        <v>450</v>
      </c>
      <c r="F114" s="103"/>
    </row>
    <row r="116" spans="1:6" x14ac:dyDescent="0.25">
      <c r="A116" t="s">
        <v>451</v>
      </c>
      <c r="B116" s="347" t="s">
        <v>452</v>
      </c>
      <c r="C116" s="347"/>
      <c r="D116" s="347"/>
    </row>
    <row r="118" spans="1:6" x14ac:dyDescent="0.25">
      <c r="B118" s="412" t="s">
        <v>402</v>
      </c>
      <c r="C118" s="390" t="s">
        <v>453</v>
      </c>
      <c r="E118" s="34">
        <f>SUM(E119:E122)</f>
        <v>21266.666666666668</v>
      </c>
    </row>
    <row r="119" spans="1:6" x14ac:dyDescent="0.25">
      <c r="B119" s="237" t="s">
        <v>403</v>
      </c>
      <c r="C119" s="380" t="s">
        <v>454</v>
      </c>
      <c r="E119" s="34">
        <f>'Controle do Imobilizado'!D3</f>
        <v>1600</v>
      </c>
    </row>
    <row r="120" spans="1:6" ht="25.5" x14ac:dyDescent="0.25">
      <c r="B120" s="237" t="s">
        <v>403</v>
      </c>
      <c r="C120" s="380" t="s">
        <v>455</v>
      </c>
      <c r="E120" s="34">
        <f>'Controle do Imobilizado'!D4+'Controle do Imobilizado'!D5</f>
        <v>8666.6666666666679</v>
      </c>
      <c r="F120" s="45"/>
    </row>
    <row r="121" spans="1:6" x14ac:dyDescent="0.25">
      <c r="B121" s="237" t="s">
        <v>403</v>
      </c>
      <c r="C121" s="380" t="s">
        <v>456</v>
      </c>
      <c r="E121" s="34">
        <f>'Controle do Imobilizado'!D6</f>
        <v>10000</v>
      </c>
    </row>
    <row r="122" spans="1:6" x14ac:dyDescent="0.25">
      <c r="B122" s="237" t="s">
        <v>403</v>
      </c>
      <c r="C122" s="380" t="s">
        <v>457</v>
      </c>
      <c r="E122" s="34">
        <f>'Controle do Imobilizado'!D7</f>
        <v>1000</v>
      </c>
    </row>
    <row r="124" spans="1:6" s="414" customFormat="1" x14ac:dyDescent="0.25">
      <c r="A124" s="414" t="s">
        <v>458</v>
      </c>
      <c r="B124" s="237" t="s">
        <v>467</v>
      </c>
      <c r="E124" s="34"/>
    </row>
    <row r="125" spans="1:6" s="414" customFormat="1" x14ac:dyDescent="0.25">
      <c r="B125" s="237"/>
      <c r="E125" s="34"/>
    </row>
    <row r="126" spans="1:6" s="414" customFormat="1" x14ac:dyDescent="0.25">
      <c r="B126" s="237" t="s">
        <v>402</v>
      </c>
      <c r="C126" s="381" t="s">
        <v>429</v>
      </c>
      <c r="E126" s="34">
        <f>E22+E60</f>
        <v>1955</v>
      </c>
    </row>
    <row r="127" spans="1:6" s="414" customFormat="1" x14ac:dyDescent="0.25">
      <c r="B127" s="237" t="s">
        <v>403</v>
      </c>
      <c r="C127" s="380" t="s">
        <v>420</v>
      </c>
      <c r="E127" s="34">
        <f>E126</f>
        <v>1955</v>
      </c>
    </row>
    <row r="128" spans="1:6" s="414" customFormat="1" x14ac:dyDescent="0.25">
      <c r="B128" s="237"/>
      <c r="E128" s="34"/>
    </row>
    <row r="129" spans="1:6" x14ac:dyDescent="0.25">
      <c r="A129" t="s">
        <v>403</v>
      </c>
      <c r="B129" s="237" t="s">
        <v>459</v>
      </c>
      <c r="F129" s="45"/>
    </row>
    <row r="131" spans="1:6" x14ac:dyDescent="0.25">
      <c r="B131" s="400" t="s">
        <v>402</v>
      </c>
      <c r="C131" s="390" t="s">
        <v>460</v>
      </c>
      <c r="D131" s="347"/>
      <c r="E131" s="34">
        <f>'DRE x1'!F41</f>
        <v>11656.27</v>
      </c>
    </row>
    <row r="132" spans="1:6" x14ac:dyDescent="0.25">
      <c r="B132" s="400" t="s">
        <v>403</v>
      </c>
      <c r="C132" s="381" t="s">
        <v>461</v>
      </c>
      <c r="E132" s="34">
        <f>E131</f>
        <v>11656.27</v>
      </c>
    </row>
    <row r="133" spans="1:6" x14ac:dyDescent="0.25">
      <c r="B133" s="402"/>
    </row>
    <row r="134" spans="1:6" ht="25.5" x14ac:dyDescent="0.25">
      <c r="B134" s="400" t="s">
        <v>402</v>
      </c>
      <c r="C134" s="390" t="s">
        <v>462</v>
      </c>
      <c r="E134" s="34">
        <f>'DRE x1'!F42</f>
        <v>4196.2572</v>
      </c>
    </row>
    <row r="135" spans="1:6" x14ac:dyDescent="0.25">
      <c r="B135" s="400" t="s">
        <v>403</v>
      </c>
      <c r="C135" s="381" t="s">
        <v>463</v>
      </c>
      <c r="E135" s="34">
        <f>E134</f>
        <v>4196.2572</v>
      </c>
      <c r="F135" s="45"/>
    </row>
    <row r="137" spans="1:6" x14ac:dyDescent="0.25">
      <c r="A137" t="s">
        <v>402</v>
      </c>
      <c r="B137" s="412" t="s">
        <v>464</v>
      </c>
    </row>
    <row r="139" spans="1:6" x14ac:dyDescent="0.25">
      <c r="B139" s="237" t="s">
        <v>402</v>
      </c>
      <c r="C139" s="390" t="s">
        <v>465</v>
      </c>
      <c r="E139" s="34">
        <f>'DRE x1'!F44</f>
        <v>30772.552799999998</v>
      </c>
      <c r="F139" s="2"/>
    </row>
    <row r="140" spans="1:6" x14ac:dyDescent="0.25">
      <c r="B140" s="237" t="s">
        <v>403</v>
      </c>
      <c r="C140" s="381" t="s">
        <v>466</v>
      </c>
      <c r="E140" s="34">
        <f>E139</f>
        <v>30772.552799999998</v>
      </c>
    </row>
    <row r="141" spans="1:6" x14ac:dyDescent="0.25">
      <c r="B141" s="402"/>
    </row>
    <row r="142" spans="1:6" x14ac:dyDescent="0.25">
      <c r="A142" t="s">
        <v>481</v>
      </c>
      <c r="B142" s="237" t="s">
        <v>482</v>
      </c>
    </row>
    <row r="143" spans="1:6" x14ac:dyDescent="0.25">
      <c r="F143" s="2"/>
    </row>
    <row r="144" spans="1:6" x14ac:dyDescent="0.25">
      <c r="B144" s="237" t="s">
        <v>402</v>
      </c>
      <c r="C144" s="381" t="s">
        <v>466</v>
      </c>
      <c r="E144" s="34">
        <f>'RESERVAS e DIVIDENDOS x1'!F6</f>
        <v>1538.6276399999999</v>
      </c>
    </row>
    <row r="145" spans="1:5" x14ac:dyDescent="0.25">
      <c r="B145" s="237" t="s">
        <v>403</v>
      </c>
      <c r="C145" s="381" t="s">
        <v>113</v>
      </c>
      <c r="E145" s="34">
        <f>E144</f>
        <v>1538.6276399999999</v>
      </c>
    </row>
    <row r="147" spans="1:5" x14ac:dyDescent="0.25">
      <c r="A147" t="s">
        <v>483</v>
      </c>
      <c r="B147" s="237" t="s">
        <v>484</v>
      </c>
    </row>
    <row r="149" spans="1:5" x14ac:dyDescent="0.25">
      <c r="B149" s="237" t="s">
        <v>402</v>
      </c>
      <c r="C149" s="381" t="s">
        <v>466</v>
      </c>
      <c r="E149" s="34">
        <f>'RESERVAS e DIVIDENDOS x1'!M9</f>
        <v>17540.355095999999</v>
      </c>
    </row>
    <row r="150" spans="1:5" x14ac:dyDescent="0.25">
      <c r="B150" s="237" t="s">
        <v>403</v>
      </c>
      <c r="C150" s="381" t="s">
        <v>485</v>
      </c>
      <c r="E150" s="34">
        <f>E149</f>
        <v>17540.355095999999</v>
      </c>
    </row>
    <row r="152" spans="1:5" x14ac:dyDescent="0.25">
      <c r="A152" s="414" t="s">
        <v>486</v>
      </c>
      <c r="B152" s="237" t="s">
        <v>489</v>
      </c>
    </row>
    <row r="154" spans="1:5" x14ac:dyDescent="0.25">
      <c r="B154" s="237" t="s">
        <v>402</v>
      </c>
      <c r="C154" s="381" t="s">
        <v>466</v>
      </c>
      <c r="E154" s="34">
        <f>'DMPL x1'!E14</f>
        <v>11693.57</v>
      </c>
    </row>
    <row r="155" spans="1:5" x14ac:dyDescent="0.25">
      <c r="B155" s="237" t="s">
        <v>403</v>
      </c>
      <c r="C155" s="381" t="s">
        <v>487</v>
      </c>
      <c r="E155" s="34">
        <f>E154</f>
        <v>11693.57</v>
      </c>
    </row>
  </sheetData>
  <mergeCells count="30">
    <mergeCell ref="B4:D4"/>
    <mergeCell ref="B10:D10"/>
    <mergeCell ref="B2:E2"/>
    <mergeCell ref="G17:I17"/>
    <mergeCell ref="B11:C11"/>
    <mergeCell ref="B12:C12"/>
    <mergeCell ref="B25:D25"/>
    <mergeCell ref="B26:D26"/>
    <mergeCell ref="B24:D24"/>
    <mergeCell ref="B20:D20"/>
    <mergeCell ref="B39:D39"/>
    <mergeCell ref="B29:D29"/>
    <mergeCell ref="B30:D30"/>
    <mergeCell ref="B35:D35"/>
    <mergeCell ref="B36:D36"/>
    <mergeCell ref="B113:D113"/>
    <mergeCell ref="B42:E42"/>
    <mergeCell ref="D99:E99"/>
    <mergeCell ref="D100:E100"/>
    <mergeCell ref="B50:D50"/>
    <mergeCell ref="B53:D53"/>
    <mergeCell ref="B58:D58"/>
    <mergeCell ref="B63:D63"/>
    <mergeCell ref="B64:D64"/>
    <mergeCell ref="B81:E81"/>
    <mergeCell ref="B67:D67"/>
    <mergeCell ref="B70:E70"/>
    <mergeCell ref="B74:D74"/>
    <mergeCell ref="B75:D75"/>
    <mergeCell ref="B78:D7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zoomScale="220" zoomScaleNormal="220" workbookViewId="0"/>
  </sheetViews>
  <sheetFormatPr defaultRowHeight="15" x14ac:dyDescent="0.25"/>
  <cols>
    <col min="1" max="1" width="38.42578125" customWidth="1"/>
    <col min="2" max="2" width="14.85546875" customWidth="1"/>
    <col min="3" max="3" width="19.5703125" customWidth="1"/>
    <col min="4" max="4" width="12.5703125" bestFit="1" customWidth="1"/>
  </cols>
  <sheetData>
    <row r="1" spans="1:4" s="345" customFormat="1" x14ac:dyDescent="0.25">
      <c r="A1" s="389" t="s">
        <v>417</v>
      </c>
    </row>
    <row r="2" spans="1:4" ht="30" x14ac:dyDescent="0.25">
      <c r="A2" s="386" t="s">
        <v>133</v>
      </c>
      <c r="B2" s="386" t="s">
        <v>414</v>
      </c>
      <c r="C2" s="387" t="s">
        <v>415</v>
      </c>
      <c r="D2" s="348" t="s">
        <v>416</v>
      </c>
    </row>
    <row r="3" spans="1:4" x14ac:dyDescent="0.25">
      <c r="A3" s="386" t="s">
        <v>409</v>
      </c>
      <c r="B3" s="388">
        <v>80000</v>
      </c>
      <c r="C3" s="387">
        <v>50</v>
      </c>
      <c r="D3" s="385">
        <f>B3/C3</f>
        <v>1600</v>
      </c>
    </row>
    <row r="4" spans="1:4" x14ac:dyDescent="0.25">
      <c r="A4" s="386" t="s">
        <v>410</v>
      </c>
      <c r="B4" s="388">
        <v>100000</v>
      </c>
      <c r="C4" s="387">
        <v>15</v>
      </c>
      <c r="D4" s="385">
        <f t="shared" ref="D4:D7" si="0">B4/C4</f>
        <v>6666.666666666667</v>
      </c>
    </row>
    <row r="5" spans="1:4" x14ac:dyDescent="0.25">
      <c r="A5" s="386" t="s">
        <v>411</v>
      </c>
      <c r="B5" s="388">
        <v>20000</v>
      </c>
      <c r="C5" s="387">
        <v>10</v>
      </c>
      <c r="D5" s="385">
        <f t="shared" si="0"/>
        <v>2000</v>
      </c>
    </row>
    <row r="6" spans="1:4" x14ac:dyDescent="0.25">
      <c r="A6" s="386" t="s">
        <v>412</v>
      </c>
      <c r="B6" s="388">
        <v>50000</v>
      </c>
      <c r="C6" s="387">
        <v>5</v>
      </c>
      <c r="D6" s="385">
        <f t="shared" si="0"/>
        <v>10000</v>
      </c>
    </row>
    <row r="7" spans="1:4" x14ac:dyDescent="0.25">
      <c r="A7" s="386" t="s">
        <v>413</v>
      </c>
      <c r="B7" s="388">
        <v>10000</v>
      </c>
      <c r="C7" s="387">
        <v>10</v>
      </c>
      <c r="D7" s="385">
        <f t="shared" si="0"/>
        <v>1000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83"/>
  <sheetViews>
    <sheetView topLeftCell="E5" zoomScale="110" zoomScaleNormal="110" workbookViewId="0">
      <selection activeCell="J66" sqref="J66"/>
    </sheetView>
  </sheetViews>
  <sheetFormatPr defaultColWidth="9.140625" defaultRowHeight="15" x14ac:dyDescent="0.25"/>
  <cols>
    <col min="1" max="1" width="0.85546875" style="226" customWidth="1"/>
    <col min="2" max="2" width="6.5703125" style="462" bestFit="1" customWidth="1"/>
    <col min="3" max="4" width="15.28515625" style="95" bestFit="1" customWidth="1"/>
    <col min="5" max="5" width="6" style="466" customWidth="1"/>
    <col min="6" max="6" width="0.85546875" style="226" customWidth="1"/>
    <col min="7" max="7" width="6" style="462" bestFit="1" customWidth="1"/>
    <col min="8" max="8" width="13" style="95" bestFit="1" customWidth="1"/>
    <col min="9" max="9" width="14.28515625" style="95" bestFit="1" customWidth="1"/>
    <col min="10" max="10" width="10.28515625" style="463" bestFit="1" customWidth="1"/>
    <col min="11" max="11" width="0.85546875" style="226" customWidth="1"/>
    <col min="12" max="12" width="6" style="462" bestFit="1" customWidth="1"/>
    <col min="13" max="13" width="14.28515625" style="95" bestFit="1" customWidth="1"/>
    <col min="14" max="14" width="16.28515625" style="95" bestFit="1" customWidth="1"/>
    <col min="15" max="15" width="6" style="462" bestFit="1" customWidth="1"/>
    <col min="16" max="16" width="0.85546875" style="226" customWidth="1"/>
    <col min="17" max="17" width="6" style="462" bestFit="1" customWidth="1"/>
    <col min="18" max="18" width="17.5703125" style="95" bestFit="1" customWidth="1"/>
    <col min="19" max="19" width="19" style="95" bestFit="1" customWidth="1"/>
    <col min="20" max="20" width="5.7109375" style="463" bestFit="1" customWidth="1"/>
    <col min="21" max="21" width="0.85546875" style="226" customWidth="1"/>
    <col min="22" max="22" width="6" style="462" bestFit="1" customWidth="1"/>
    <col min="23" max="23" width="20" style="95" bestFit="1" customWidth="1"/>
    <col min="24" max="24" width="15.28515625" style="95" bestFit="1" customWidth="1"/>
    <col min="25" max="25" width="5.85546875" style="95" bestFit="1" customWidth="1"/>
    <col min="26" max="26" width="0.85546875" style="226" customWidth="1"/>
    <col min="27" max="27" width="7.42578125" style="462" bestFit="1" customWidth="1"/>
    <col min="28" max="29" width="20" style="95" bestFit="1" customWidth="1"/>
    <col min="30" max="30" width="6" style="95" bestFit="1" customWidth="1"/>
    <col min="31" max="31" width="0.85546875" style="226" customWidth="1"/>
    <col min="32" max="32" width="5.140625" style="462" bestFit="1" customWidth="1"/>
    <col min="33" max="33" width="19.5703125" style="95" bestFit="1" customWidth="1"/>
    <col min="34" max="34" width="19.42578125" style="95" bestFit="1" customWidth="1"/>
    <col min="35" max="35" width="6" style="95" customWidth="1"/>
    <col min="36" max="36" width="0.85546875" style="226" customWidth="1"/>
    <col min="37" max="37" width="6" style="95" bestFit="1" customWidth="1"/>
    <col min="38" max="38" width="12" style="95" bestFit="1" customWidth="1"/>
    <col min="39" max="39" width="17.28515625" style="95" bestFit="1" customWidth="1"/>
    <col min="40" max="40" width="3.85546875" style="95" bestFit="1" customWidth="1"/>
    <col min="41" max="41" width="0.85546875" style="226" customWidth="1"/>
    <col min="42" max="42" width="6" style="462" bestFit="1" customWidth="1"/>
    <col min="43" max="43" width="19.42578125" style="95" bestFit="1" customWidth="1"/>
    <col min="44" max="44" width="18.7109375" style="95" bestFit="1" customWidth="1"/>
    <col min="45" max="45" width="3.85546875" style="95" bestFit="1" customWidth="1"/>
    <col min="46" max="46" width="0.85546875" style="226" customWidth="1"/>
    <col min="47" max="47" width="5" style="462" bestFit="1" customWidth="1"/>
    <col min="48" max="48" width="17.7109375" style="95" bestFit="1" customWidth="1"/>
    <col min="49" max="49" width="13" style="95" bestFit="1" customWidth="1"/>
    <col min="50" max="50" width="5" style="95" bestFit="1" customWidth="1"/>
    <col min="51" max="51" width="0.85546875" style="226" customWidth="1"/>
    <col min="52" max="52" width="5.85546875" style="462" bestFit="1" customWidth="1"/>
    <col min="53" max="54" width="13" style="95" bestFit="1" customWidth="1"/>
    <col min="55" max="55" width="5" style="95" bestFit="1" customWidth="1"/>
    <col min="56" max="16384" width="9.140625" style="95"/>
  </cols>
  <sheetData>
    <row r="2" spans="2:55" x14ac:dyDescent="0.25">
      <c r="B2" s="620" t="s">
        <v>132</v>
      </c>
      <c r="C2" s="621"/>
      <c r="D2" s="621"/>
      <c r="E2" s="622"/>
      <c r="G2" s="623" t="s">
        <v>419</v>
      </c>
      <c r="H2" s="621"/>
      <c r="I2" s="621"/>
      <c r="J2" s="622"/>
      <c r="L2" s="620" t="s">
        <v>130</v>
      </c>
      <c r="M2" s="621"/>
      <c r="N2" s="621"/>
      <c r="O2" s="622"/>
      <c r="Q2" s="623" t="s">
        <v>210</v>
      </c>
      <c r="R2" s="621"/>
      <c r="S2" s="621"/>
      <c r="T2" s="622"/>
      <c r="V2" s="620" t="s">
        <v>129</v>
      </c>
      <c r="W2" s="621"/>
      <c r="X2" s="621"/>
      <c r="Y2" s="622"/>
      <c r="AA2" s="623" t="s">
        <v>406</v>
      </c>
      <c r="AB2" s="621"/>
      <c r="AC2" s="621"/>
      <c r="AD2" s="622"/>
      <c r="AF2" s="620" t="s">
        <v>128</v>
      </c>
      <c r="AG2" s="621"/>
      <c r="AH2" s="621"/>
      <c r="AI2" s="622"/>
      <c r="AK2" s="620" t="s">
        <v>127</v>
      </c>
      <c r="AL2" s="621"/>
      <c r="AM2" s="621"/>
      <c r="AN2" s="622"/>
      <c r="AP2" s="623" t="s">
        <v>408</v>
      </c>
      <c r="AQ2" s="621"/>
      <c r="AR2" s="621"/>
      <c r="AS2" s="622"/>
      <c r="AU2" s="623" t="s">
        <v>433</v>
      </c>
      <c r="AV2" s="621"/>
      <c r="AW2" s="621"/>
      <c r="AX2" s="622"/>
      <c r="AZ2" s="620" t="s">
        <v>121</v>
      </c>
      <c r="BA2" s="621"/>
      <c r="BB2" s="621"/>
      <c r="BC2" s="622"/>
    </row>
    <row r="3" spans="2:55" x14ac:dyDescent="0.25">
      <c r="B3" s="460">
        <v>1</v>
      </c>
      <c r="C3" s="96">
        <f>'[1]Lanç x1'!D5</f>
        <v>550000</v>
      </c>
      <c r="D3" s="232">
        <f>'[1]Lanç x1'!D15</f>
        <v>260000</v>
      </c>
      <c r="E3" s="461">
        <v>2</v>
      </c>
      <c r="G3" s="460">
        <v>3</v>
      </c>
      <c r="H3" s="96">
        <f>'[1]Lanç x1'!D19</f>
        <v>4150</v>
      </c>
      <c r="I3" s="232">
        <f>'[1]Lanç x1'!D39</f>
        <v>3320.0000000000005</v>
      </c>
      <c r="J3" s="413" t="s">
        <v>490</v>
      </c>
      <c r="L3" s="460" t="s">
        <v>49</v>
      </c>
      <c r="M3" s="100">
        <f>'[1]Lanç x1'!D74</f>
        <v>32500</v>
      </c>
      <c r="Q3" s="462">
        <v>2</v>
      </c>
      <c r="R3" s="101">
        <f>'[1]Lanç x1'!D12</f>
        <v>120000</v>
      </c>
      <c r="V3" s="462">
        <v>2</v>
      </c>
      <c r="W3" s="101">
        <f>'[1]Lanç x1'!D13</f>
        <v>50000</v>
      </c>
      <c r="AA3" s="462">
        <v>2</v>
      </c>
      <c r="AB3" s="101">
        <f>'[1]Lanç x1'!D11</f>
        <v>80000</v>
      </c>
      <c r="AG3" s="101"/>
      <c r="AH3" s="95">
        <f>'[1]Lanç x1'!D121</f>
        <v>1600</v>
      </c>
      <c r="AI3" s="227" t="s">
        <v>167</v>
      </c>
      <c r="AL3" s="101"/>
      <c r="AP3" s="460">
        <v>2</v>
      </c>
      <c r="AQ3" s="101">
        <f>'[1]Lanç x1'!D14</f>
        <v>10000</v>
      </c>
      <c r="AU3" s="460" t="s">
        <v>41</v>
      </c>
      <c r="AV3" s="101">
        <f>'[1]Lanç x1'!D49</f>
        <v>2400</v>
      </c>
      <c r="AW3" s="95">
        <f>'[1]Lanç x1'!D53</f>
        <v>600</v>
      </c>
      <c r="AX3" s="232" t="s">
        <v>43</v>
      </c>
      <c r="AZ3" s="460">
        <v>3</v>
      </c>
      <c r="BA3" s="101">
        <f>'[1]Lanç x1'!D20</f>
        <v>850.00000000000011</v>
      </c>
      <c r="BB3" s="232"/>
    </row>
    <row r="4" spans="2:55" x14ac:dyDescent="0.25">
      <c r="B4" s="460" t="s">
        <v>34</v>
      </c>
      <c r="C4" s="23">
        <f>'[1]Lanç x1'!D35</f>
        <v>40000</v>
      </c>
      <c r="D4" s="232">
        <f>'[1]Lanç x1'!D21</f>
        <v>5000</v>
      </c>
      <c r="E4" s="461">
        <v>3</v>
      </c>
      <c r="G4" s="460">
        <v>8</v>
      </c>
      <c r="H4" s="23">
        <f>'[1]Lanç x1'!D57</f>
        <v>5395</v>
      </c>
      <c r="I4" s="232">
        <f>'[1]Lanç x1'!D67</f>
        <v>3112.5</v>
      </c>
      <c r="J4" s="413" t="s">
        <v>46</v>
      </c>
      <c r="L4" s="464"/>
      <c r="M4" s="97"/>
      <c r="R4" s="97"/>
      <c r="W4" s="97"/>
      <c r="AB4" s="97"/>
      <c r="AG4" s="97"/>
      <c r="AH4" s="95">
        <f>'[1]Lanç x1'!D122</f>
        <v>8666.6666666666679</v>
      </c>
      <c r="AI4" s="216" t="s">
        <v>167</v>
      </c>
      <c r="AL4" s="97"/>
      <c r="AQ4" s="97"/>
      <c r="AV4" s="97"/>
      <c r="AZ4" s="460">
        <v>8</v>
      </c>
      <c r="BA4" s="97">
        <f>'[1]Lanç x1'!D58</f>
        <v>1105</v>
      </c>
      <c r="BB4" s="98"/>
    </row>
    <row r="5" spans="2:55" x14ac:dyDescent="0.25">
      <c r="B5" s="460" t="s">
        <v>45</v>
      </c>
      <c r="C5" s="23">
        <f>'[1]Lanç x1'!D63</f>
        <v>36000</v>
      </c>
      <c r="D5" s="232">
        <f>'[1]Lanç x1'!D26</f>
        <v>700</v>
      </c>
      <c r="E5" s="461">
        <v>4</v>
      </c>
      <c r="G5" s="465"/>
      <c r="H5" s="23"/>
      <c r="I5" s="98">
        <f>'[1]Lanç x1'!D78</f>
        <v>2593.75</v>
      </c>
      <c r="J5" s="461">
        <v>10</v>
      </c>
      <c r="M5" s="97"/>
      <c r="R5" s="97"/>
      <c r="W5" s="97"/>
      <c r="AB5" s="97"/>
      <c r="AG5" s="97"/>
      <c r="AH5" s="95">
        <f>'[1]Lanç x1'!D123</f>
        <v>10000</v>
      </c>
      <c r="AI5" s="216" t="s">
        <v>167</v>
      </c>
      <c r="AL5" s="97"/>
      <c r="AQ5" s="97"/>
      <c r="AV5" s="97"/>
      <c r="BA5" s="97"/>
      <c r="BB5" s="99"/>
    </row>
    <row r="6" spans="2:55" x14ac:dyDescent="0.25">
      <c r="B6" s="460" t="s">
        <v>491</v>
      </c>
      <c r="C6" s="23">
        <f>'[1]Lanç x1'!D89</f>
        <v>30625.475872778949</v>
      </c>
      <c r="D6" s="232">
        <f>'[1]Lanç x1'!D31</f>
        <v>2000</v>
      </c>
      <c r="E6" s="461">
        <v>5</v>
      </c>
      <c r="H6" s="97"/>
      <c r="I6" s="99"/>
      <c r="M6" s="97"/>
      <c r="R6" s="97"/>
      <c r="W6" s="97"/>
      <c r="AB6" s="97"/>
      <c r="AG6" s="97"/>
      <c r="AH6" s="95">
        <f>'[1]Lanç x1'!D124</f>
        <v>1000</v>
      </c>
      <c r="AI6" s="216" t="s">
        <v>167</v>
      </c>
      <c r="AL6" s="97"/>
      <c r="AQ6" s="97"/>
      <c r="AV6" s="97"/>
      <c r="BA6" s="97"/>
    </row>
    <row r="7" spans="2:55" x14ac:dyDescent="0.25">
      <c r="C7" s="23"/>
      <c r="D7" s="232">
        <f>'[1]Lanç x1'!D45</f>
        <v>300</v>
      </c>
      <c r="E7" s="461" t="s">
        <v>492</v>
      </c>
      <c r="H7" s="97"/>
      <c r="M7" s="97"/>
      <c r="R7" s="97"/>
      <c r="W7" s="97"/>
      <c r="AB7" s="97"/>
      <c r="AG7" s="97"/>
      <c r="AL7" s="97"/>
      <c r="AQ7" s="97"/>
      <c r="AV7" s="97"/>
      <c r="BA7" s="97"/>
    </row>
    <row r="8" spans="2:55" x14ac:dyDescent="0.25">
      <c r="C8" s="23"/>
      <c r="D8" s="232">
        <f>'[1]Lanç x1'!D50</f>
        <v>2400</v>
      </c>
      <c r="E8" s="461" t="s">
        <v>41</v>
      </c>
      <c r="H8" s="97"/>
      <c r="M8" s="97"/>
      <c r="R8" s="97"/>
      <c r="W8" s="97"/>
      <c r="AB8" s="97"/>
      <c r="AG8" s="97"/>
      <c r="AL8" s="97"/>
      <c r="AQ8" s="97"/>
      <c r="AV8" s="97"/>
      <c r="BA8" s="97"/>
    </row>
    <row r="9" spans="2:55" x14ac:dyDescent="0.25">
      <c r="C9" s="23"/>
      <c r="D9" s="232">
        <f>'[1]Lanç x1'!D59</f>
        <v>6500</v>
      </c>
      <c r="E9" s="461">
        <v>8</v>
      </c>
      <c r="H9" s="97"/>
      <c r="M9" s="97"/>
      <c r="R9" s="97"/>
      <c r="W9" s="97"/>
      <c r="AB9" s="97"/>
      <c r="AG9" s="97"/>
      <c r="AL9" s="97"/>
      <c r="AQ9" s="97"/>
      <c r="AV9" s="97"/>
      <c r="BA9" s="97"/>
      <c r="BC9" s="99"/>
    </row>
    <row r="10" spans="2:55" x14ac:dyDescent="0.25">
      <c r="C10" s="23"/>
      <c r="D10" s="232">
        <f>'[1]Lanç x1'!D84</f>
        <v>150</v>
      </c>
      <c r="E10" s="461" t="s">
        <v>493</v>
      </c>
      <c r="H10" s="97"/>
      <c r="M10" s="97"/>
      <c r="R10" s="97"/>
      <c r="W10" s="97"/>
      <c r="AB10" s="97"/>
      <c r="AG10" s="97"/>
      <c r="AL10" s="97"/>
      <c r="AQ10" s="97"/>
      <c r="AV10" s="97"/>
      <c r="BA10" s="97"/>
    </row>
    <row r="11" spans="2:55" x14ac:dyDescent="0.25">
      <c r="C11" s="97"/>
      <c r="D11" s="232">
        <f>'[1]Lanç x1'!D94</f>
        <v>150</v>
      </c>
      <c r="E11" s="461" t="s">
        <v>491</v>
      </c>
      <c r="H11" s="97"/>
      <c r="M11" s="97"/>
      <c r="R11" s="97"/>
      <c r="W11" s="97"/>
      <c r="AB11" s="97"/>
      <c r="AG11" s="97"/>
      <c r="AL11" s="97"/>
      <c r="AQ11" s="97"/>
      <c r="AV11" s="97"/>
      <c r="BA11" s="97"/>
    </row>
    <row r="12" spans="2:55" x14ac:dyDescent="0.25">
      <c r="C12" s="97"/>
      <c r="D12" s="98">
        <f>'[1]Lanç x1'!D115</f>
        <v>8000</v>
      </c>
      <c r="E12" s="461" t="s">
        <v>54</v>
      </c>
      <c r="H12" s="97"/>
      <c r="M12" s="97"/>
      <c r="R12" s="97"/>
      <c r="W12" s="97"/>
      <c r="AB12" s="97"/>
      <c r="AG12" s="97"/>
      <c r="AL12" s="97"/>
      <c r="AQ12" s="97"/>
      <c r="AV12" s="97"/>
      <c r="BA12" s="97"/>
    </row>
    <row r="13" spans="2:55" x14ac:dyDescent="0.25">
      <c r="C13" s="99"/>
      <c r="D13" s="93"/>
      <c r="E13" s="461"/>
      <c r="H13" s="97"/>
      <c r="M13" s="97"/>
      <c r="R13" s="97"/>
      <c r="W13" s="97"/>
      <c r="AB13" s="97"/>
      <c r="AG13" s="97"/>
      <c r="AL13" s="97"/>
      <c r="AQ13" s="97"/>
      <c r="AV13" s="97"/>
      <c r="BA13" s="97"/>
    </row>
    <row r="14" spans="2:55" x14ac:dyDescent="0.25">
      <c r="C14" s="97"/>
      <c r="D14" s="232"/>
      <c r="E14" s="461"/>
      <c r="H14" s="97"/>
      <c r="M14" s="97"/>
      <c r="R14" s="97"/>
      <c r="W14" s="97"/>
      <c r="AB14" s="97"/>
      <c r="AG14" s="97"/>
      <c r="AL14" s="97"/>
      <c r="AQ14" s="97"/>
      <c r="AV14" s="97"/>
      <c r="BA14" s="97"/>
    </row>
    <row r="15" spans="2:55" x14ac:dyDescent="0.25">
      <c r="C15" s="97"/>
      <c r="D15" s="232"/>
      <c r="E15" s="461"/>
      <c r="H15" s="97"/>
      <c r="M15" s="97"/>
      <c r="R15" s="97"/>
      <c r="W15" s="97"/>
      <c r="AB15" s="97"/>
      <c r="AG15" s="97"/>
      <c r="AL15" s="97"/>
      <c r="AQ15" s="97"/>
      <c r="AV15" s="97"/>
      <c r="BA15" s="97"/>
    </row>
    <row r="16" spans="2:55" x14ac:dyDescent="0.25">
      <c r="C16" s="97"/>
      <c r="D16" s="232"/>
      <c r="E16" s="461"/>
      <c r="H16" s="97"/>
      <c r="M16" s="97"/>
      <c r="R16" s="97"/>
      <c r="W16" s="97"/>
      <c r="AB16" s="97"/>
      <c r="AG16" s="97"/>
      <c r="AL16" s="97"/>
      <c r="AQ16" s="97"/>
      <c r="AV16" s="97"/>
      <c r="BA16" s="97"/>
    </row>
    <row r="17" spans="1:55" x14ac:dyDescent="0.25">
      <c r="C17" s="97"/>
      <c r="D17" s="232"/>
      <c r="E17" s="461"/>
      <c r="H17" s="97"/>
      <c r="M17" s="97"/>
      <c r="R17" s="97"/>
      <c r="W17" s="97"/>
      <c r="AB17" s="97"/>
      <c r="AG17" s="97"/>
      <c r="AL17" s="97"/>
      <c r="AQ17" s="97"/>
      <c r="AV17" s="97"/>
      <c r="BA17" s="97"/>
    </row>
    <row r="18" spans="1:55" x14ac:dyDescent="0.25">
      <c r="C18" s="97"/>
      <c r="D18" s="232"/>
      <c r="E18" s="461"/>
      <c r="H18" s="97"/>
      <c r="M18" s="97"/>
      <c r="R18" s="97"/>
      <c r="W18" s="97"/>
      <c r="AB18" s="97"/>
      <c r="AG18" s="97"/>
      <c r="AL18" s="97"/>
      <c r="AQ18" s="97"/>
      <c r="AV18" s="97"/>
      <c r="BA18" s="97"/>
    </row>
    <row r="19" spans="1:55" x14ac:dyDescent="0.25">
      <c r="C19" s="97"/>
      <c r="D19" s="232"/>
      <c r="E19" s="461"/>
      <c r="H19" s="97"/>
      <c r="M19" s="97"/>
      <c r="R19" s="97"/>
      <c r="W19" s="97"/>
      <c r="AB19" s="97"/>
      <c r="AG19" s="97"/>
      <c r="AL19" s="97"/>
      <c r="AQ19" s="97"/>
      <c r="AV19" s="97"/>
      <c r="BA19" s="97"/>
    </row>
    <row r="20" spans="1:55" x14ac:dyDescent="0.25">
      <c r="C20" s="97"/>
      <c r="H20" s="97"/>
      <c r="M20" s="97"/>
      <c r="R20" s="97"/>
      <c r="W20" s="97"/>
      <c r="AB20" s="97"/>
      <c r="AG20" s="97"/>
      <c r="AL20" s="97"/>
      <c r="AQ20" s="97"/>
      <c r="AV20" s="97"/>
      <c r="BA20" s="111"/>
    </row>
    <row r="21" spans="1:55" x14ac:dyDescent="0.25">
      <c r="C21" s="101">
        <f>SUM(C3:C20)</f>
        <v>656625.47587277892</v>
      </c>
      <c r="D21" s="104">
        <f>SUM(D3:D19)</f>
        <v>285200</v>
      </c>
      <c r="H21" s="101">
        <f>SUM(H3:H20)</f>
        <v>9545</v>
      </c>
      <c r="I21" s="102">
        <f>SUM(I3:I20)</f>
        <v>9026.25</v>
      </c>
      <c r="M21" s="101">
        <f>SUM(M3:M20)</f>
        <v>32500</v>
      </c>
      <c r="N21" s="102">
        <f>SUM(N3:N20)</f>
        <v>0</v>
      </c>
      <c r="R21" s="101">
        <f>SUM(R3:R20)</f>
        <v>120000</v>
      </c>
      <c r="S21" s="102">
        <f>SUM(S3:S20)</f>
        <v>0</v>
      </c>
      <c r="W21" s="101">
        <f>SUM(W3:W20)</f>
        <v>50000</v>
      </c>
      <c r="X21" s="102">
        <f>SUM(X3:X20)</f>
        <v>0</v>
      </c>
      <c r="AB21" s="101">
        <f>SUM(AB3:AB20)</f>
        <v>80000</v>
      </c>
      <c r="AC21" s="102">
        <f>SUM(AC3:AC20)</f>
        <v>0</v>
      </c>
      <c r="AG21" s="101">
        <f>SUM(AG3:AG20)</f>
        <v>0</v>
      </c>
      <c r="AH21" s="102">
        <f>SUM(AH3:AH20)</f>
        <v>21266.666666666668</v>
      </c>
      <c r="AL21" s="101">
        <f>SUM(AL3:AL20)</f>
        <v>0</v>
      </c>
      <c r="AM21" s="102">
        <f>SUM(AM3:AM20)</f>
        <v>0</v>
      </c>
      <c r="AQ21" s="101">
        <f>SUM(AQ3:AQ20)</f>
        <v>10000</v>
      </c>
      <c r="AR21" s="102">
        <f>SUM(AR3:AR20)</f>
        <v>0</v>
      </c>
      <c r="AV21" s="101">
        <f>SUM(AV3:AV20)</f>
        <v>2400</v>
      </c>
      <c r="AW21" s="102">
        <f>SUM(AW3:AW20)</f>
        <v>600</v>
      </c>
      <c r="BA21" s="101">
        <f>SUM(BA3:BA20)</f>
        <v>1955</v>
      </c>
      <c r="BB21" s="102">
        <f>BA21</f>
        <v>1955</v>
      </c>
      <c r="BC21" s="216" t="s">
        <v>494</v>
      </c>
    </row>
    <row r="22" spans="1:55" x14ac:dyDescent="0.25">
      <c r="A22" s="95"/>
      <c r="C22" s="110">
        <f>C21-D21</f>
        <v>371425.47587277892</v>
      </c>
      <c r="H22" s="110">
        <f>H21-I21</f>
        <v>518.75</v>
      </c>
      <c r="M22" s="110">
        <f>M21-N21</f>
        <v>32500</v>
      </c>
      <c r="R22" s="110">
        <f>R21-S21</f>
        <v>120000</v>
      </c>
      <c r="W22" s="110">
        <f>W21-X21</f>
        <v>50000</v>
      </c>
      <c r="AB22" s="110">
        <f>AB21-AC21</f>
        <v>80000</v>
      </c>
      <c r="AG22" s="110">
        <f>AG21-AH21</f>
        <v>-21266.666666666668</v>
      </c>
      <c r="AL22" s="110">
        <f>AL21-AM21</f>
        <v>0</v>
      </c>
      <c r="AQ22" s="110">
        <f>AQ21-AR21</f>
        <v>10000</v>
      </c>
      <c r="AV22" s="110">
        <f>AV21-AW21</f>
        <v>1800</v>
      </c>
      <c r="BA22" s="110">
        <f>BA21-BB21</f>
        <v>0</v>
      </c>
      <c r="BB22" s="110">
        <f>BA22</f>
        <v>0</v>
      </c>
      <c r="BC22" s="217" t="s">
        <v>87</v>
      </c>
    </row>
    <row r="23" spans="1:55" x14ac:dyDescent="0.25">
      <c r="A23" s="95"/>
      <c r="C23" s="110"/>
      <c r="H23" s="110"/>
      <c r="M23" s="110"/>
      <c r="R23" s="110"/>
      <c r="W23" s="110"/>
      <c r="AB23" s="110"/>
      <c r="AG23" s="110"/>
      <c r="AL23" s="110"/>
      <c r="AQ23" s="110"/>
      <c r="AV23" s="110"/>
      <c r="BA23" s="110"/>
      <c r="BB23" s="110"/>
      <c r="BC23" s="217"/>
    </row>
    <row r="24" spans="1:55" x14ac:dyDescent="0.25">
      <c r="A24" s="95"/>
      <c r="B24" s="606" t="s">
        <v>126</v>
      </c>
      <c r="C24" s="607"/>
      <c r="D24" s="607"/>
      <c r="E24" s="608"/>
      <c r="G24" s="606" t="s">
        <v>125</v>
      </c>
      <c r="H24" s="607"/>
      <c r="I24" s="607"/>
      <c r="J24" s="608"/>
      <c r="L24" s="606" t="s">
        <v>124</v>
      </c>
      <c r="M24" s="607"/>
      <c r="N24" s="607"/>
      <c r="O24" s="608"/>
      <c r="Q24" s="606" t="s">
        <v>429</v>
      </c>
      <c r="R24" s="607"/>
      <c r="S24" s="607"/>
      <c r="T24" s="608"/>
      <c r="U24" s="228"/>
      <c r="V24" s="606" t="s">
        <v>134</v>
      </c>
      <c r="W24" s="607"/>
      <c r="X24" s="607"/>
      <c r="Y24" s="608"/>
      <c r="Z24" s="228"/>
      <c r="AA24" s="606" t="s">
        <v>135</v>
      </c>
      <c r="AB24" s="607"/>
      <c r="AC24" s="607"/>
      <c r="AD24" s="608"/>
      <c r="AE24" s="228"/>
      <c r="AF24" s="606" t="s">
        <v>136</v>
      </c>
      <c r="AG24" s="607"/>
      <c r="AH24" s="607"/>
      <c r="AI24" s="608"/>
      <c r="AK24" s="609" t="s">
        <v>495</v>
      </c>
      <c r="AL24" s="610"/>
      <c r="AM24" s="610"/>
      <c r="AN24" s="611"/>
      <c r="AP24" s="609" t="s">
        <v>461</v>
      </c>
      <c r="AQ24" s="612"/>
      <c r="AR24" s="612"/>
      <c r="AS24" s="613"/>
    </row>
    <row r="25" spans="1:55" x14ac:dyDescent="0.25">
      <c r="A25" s="95"/>
      <c r="B25" s="464"/>
      <c r="C25" s="101"/>
      <c r="H25" s="101"/>
      <c r="M25" s="101"/>
      <c r="Q25" s="467" t="s">
        <v>494</v>
      </c>
      <c r="R25" s="101">
        <f>BA21</f>
        <v>1955</v>
      </c>
      <c r="S25" s="232">
        <f>'[1]Lanç x1'!D42</f>
        <v>6800.0000000000009</v>
      </c>
      <c r="T25" s="413" t="s">
        <v>496</v>
      </c>
      <c r="V25" s="460" t="s">
        <v>491</v>
      </c>
      <c r="W25" s="101">
        <f>'[1]Lanç x1'!D90</f>
        <v>1874.5241272210515</v>
      </c>
      <c r="X25" s="95">
        <f>'[1]Lanç x1'!D108</f>
        <v>1237.2692252602719</v>
      </c>
      <c r="Y25" s="232" t="s">
        <v>497</v>
      </c>
      <c r="AB25" s="101"/>
      <c r="AC25" s="109">
        <f>'[1]Lanç x1'!D91</f>
        <v>32500</v>
      </c>
      <c r="AD25" s="413" t="s">
        <v>491</v>
      </c>
      <c r="AG25" s="101"/>
      <c r="AH25" s="232">
        <f>'[1]RESERVAS x1'!M9</f>
        <v>17540.255067457081</v>
      </c>
      <c r="AI25" s="232" t="s">
        <v>498</v>
      </c>
      <c r="AL25" s="101"/>
      <c r="AM25" s="232">
        <f>'[1]DRE x1'!F40</f>
        <v>4196.2332697265747</v>
      </c>
      <c r="AN25" s="232" t="s">
        <v>499</v>
      </c>
      <c r="AQ25" s="101"/>
      <c r="AR25" s="232">
        <f>'[1]DRE x1'!F39</f>
        <v>11656.203527018264</v>
      </c>
      <c r="AS25" s="232" t="s">
        <v>90</v>
      </c>
    </row>
    <row r="26" spans="1:55" x14ac:dyDescent="0.25">
      <c r="A26" s="95"/>
      <c r="C26" s="97"/>
      <c r="E26" s="461"/>
      <c r="H26" s="97"/>
      <c r="M26" s="97"/>
      <c r="R26" s="97"/>
      <c r="S26" s="232">
        <f>'[1]Lanç x1'!D70</f>
        <v>6120</v>
      </c>
      <c r="T26" s="413" t="s">
        <v>47</v>
      </c>
      <c r="V26" s="464"/>
      <c r="W26" s="97"/>
      <c r="AB26" s="99"/>
      <c r="AC26" s="94"/>
      <c r="AG26" s="97"/>
      <c r="AL26" s="97"/>
      <c r="AQ26" s="97"/>
    </row>
    <row r="27" spans="1:55" x14ac:dyDescent="0.25">
      <c r="A27" s="95"/>
      <c r="C27" s="97"/>
      <c r="E27" s="461"/>
      <c r="H27" s="97"/>
      <c r="M27" s="97"/>
      <c r="R27" s="97"/>
      <c r="S27" s="93">
        <f>'[1]Lanç x1'!D81</f>
        <v>5525</v>
      </c>
      <c r="T27" s="413" t="s">
        <v>50</v>
      </c>
      <c r="W27" s="97"/>
      <c r="AB27" s="99"/>
      <c r="AC27" s="94"/>
      <c r="AG27" s="97"/>
      <c r="AL27" s="97"/>
      <c r="AQ27" s="97"/>
    </row>
    <row r="28" spans="1:55" x14ac:dyDescent="0.25">
      <c r="A28" s="95"/>
      <c r="C28" s="97"/>
      <c r="E28" s="461"/>
      <c r="H28" s="97"/>
      <c r="M28" s="97"/>
      <c r="R28" s="97"/>
      <c r="S28" s="232"/>
      <c r="T28" s="413"/>
      <c r="W28" s="97"/>
      <c r="AB28" s="99"/>
      <c r="AC28" s="94"/>
      <c r="AG28" s="97"/>
      <c r="AL28" s="97"/>
      <c r="AQ28" s="97"/>
    </row>
    <row r="29" spans="1:55" x14ac:dyDescent="0.25">
      <c r="A29" s="95"/>
      <c r="C29" s="97"/>
      <c r="E29" s="461"/>
      <c r="H29" s="97"/>
      <c r="M29" s="97"/>
      <c r="R29" s="97"/>
      <c r="S29" s="232"/>
      <c r="T29" s="413"/>
      <c r="W29" s="97"/>
      <c r="AB29" s="99"/>
      <c r="AC29" s="94"/>
      <c r="AG29" s="97"/>
      <c r="AL29" s="97"/>
      <c r="AQ29" s="97"/>
    </row>
    <row r="30" spans="1:55" x14ac:dyDescent="0.25">
      <c r="A30" s="95"/>
      <c r="C30" s="97"/>
      <c r="E30" s="461"/>
      <c r="H30" s="97"/>
      <c r="M30" s="97"/>
      <c r="R30" s="97"/>
      <c r="S30" s="232"/>
      <c r="T30" s="413"/>
      <c r="W30" s="97"/>
      <c r="AB30" s="99"/>
      <c r="AC30" s="94"/>
      <c r="AD30" s="216"/>
      <c r="AG30" s="97"/>
      <c r="AL30" s="97"/>
      <c r="AQ30" s="97"/>
    </row>
    <row r="31" spans="1:55" x14ac:dyDescent="0.25">
      <c r="A31" s="95"/>
      <c r="C31" s="97"/>
      <c r="H31" s="97"/>
      <c r="M31" s="97"/>
      <c r="R31" s="97"/>
      <c r="S31" s="93"/>
      <c r="T31" s="413"/>
      <c r="W31" s="97"/>
      <c r="AB31" s="97"/>
      <c r="AG31" s="97"/>
      <c r="AL31" s="97"/>
      <c r="AQ31" s="97"/>
    </row>
    <row r="32" spans="1:55" x14ac:dyDescent="0.25">
      <c r="A32" s="95"/>
      <c r="C32" s="101">
        <f>SUM(C25:C31)</f>
        <v>0</v>
      </c>
      <c r="D32" s="102">
        <f>SUM(D25:D31)</f>
        <v>0</v>
      </c>
      <c r="H32" s="101">
        <f>SUM(H25:H31)</f>
        <v>0</v>
      </c>
      <c r="I32" s="102">
        <f>SUM(I25:I31)</f>
        <v>0</v>
      </c>
      <c r="M32" s="101">
        <f>SUM(M25:M31)</f>
        <v>0</v>
      </c>
      <c r="N32" s="102">
        <f>SUM(N25:N31)</f>
        <v>0</v>
      </c>
      <c r="R32" s="101">
        <f>SUM(R25:R31)</f>
        <v>1955</v>
      </c>
      <c r="S32" s="102">
        <f>SUM(S25:S31)</f>
        <v>18445</v>
      </c>
      <c r="W32" s="101">
        <f>SUM(W25:W31)</f>
        <v>1874.5241272210515</v>
      </c>
      <c r="X32" s="102">
        <f>SUM(X25:X31)</f>
        <v>1237.2692252602719</v>
      </c>
      <c r="AB32" s="101">
        <f>SUM(AB25:AB31)</f>
        <v>0</v>
      </c>
      <c r="AC32" s="102">
        <f>SUM(AC25:AC31)</f>
        <v>32500</v>
      </c>
      <c r="AG32" s="101">
        <f>SUM(AG25:AG31)</f>
        <v>0</v>
      </c>
      <c r="AH32" s="102">
        <f>SUM(AH25:AH31)</f>
        <v>17540.255067457081</v>
      </c>
      <c r="AL32" s="101">
        <f>SUM(AL25:AL31)</f>
        <v>0</v>
      </c>
      <c r="AM32" s="102">
        <f>SUM(AM25:AM31)</f>
        <v>4196.2332697265747</v>
      </c>
      <c r="AQ32" s="101">
        <f>SUM(AQ25:AQ31)</f>
        <v>0</v>
      </c>
      <c r="AR32" s="102">
        <f>SUM(AR25:AR31)</f>
        <v>11656.203527018264</v>
      </c>
    </row>
    <row r="33" spans="2:55" s="95" customFormat="1" x14ac:dyDescent="0.25">
      <c r="B33" s="462"/>
      <c r="D33" s="110">
        <f>D32-C32</f>
        <v>0</v>
      </c>
      <c r="E33" s="466"/>
      <c r="F33" s="226"/>
      <c r="G33" s="462"/>
      <c r="I33" s="110">
        <f>I32-H32</f>
        <v>0</v>
      </c>
      <c r="J33" s="463"/>
      <c r="K33" s="226"/>
      <c r="L33" s="462"/>
      <c r="N33" s="110">
        <f>N32-M32</f>
        <v>0</v>
      </c>
      <c r="O33" s="462"/>
      <c r="P33" s="226"/>
      <c r="Q33" s="462"/>
      <c r="S33" s="110">
        <f>S32-R32</f>
        <v>16490</v>
      </c>
      <c r="T33" s="468"/>
      <c r="U33" s="229"/>
      <c r="V33" s="469"/>
      <c r="W33" s="110">
        <f>X32-W32</f>
        <v>-637.25490196077953</v>
      </c>
      <c r="Y33" s="110"/>
      <c r="Z33" s="229"/>
      <c r="AA33" s="469"/>
      <c r="AB33" s="110"/>
      <c r="AC33" s="110">
        <f>AC32-AB32</f>
        <v>32500</v>
      </c>
      <c r="AD33" s="110"/>
      <c r="AE33" s="229"/>
      <c r="AF33" s="469"/>
      <c r="AG33" s="110"/>
      <c r="AH33" s="110">
        <f>AH32-AG32</f>
        <v>17540.255067457081</v>
      </c>
      <c r="AI33" s="110"/>
      <c r="AJ33" s="226"/>
      <c r="AK33" s="110"/>
      <c r="AL33" s="110"/>
      <c r="AM33" s="110">
        <f>AM32-AL32</f>
        <v>4196.2332697265747</v>
      </c>
      <c r="AN33" s="110"/>
      <c r="AO33" s="226"/>
      <c r="AP33" s="469"/>
      <c r="AQ33" s="110"/>
      <c r="AR33" s="110">
        <f>AR32-AQ32</f>
        <v>11656.203527018264</v>
      </c>
      <c r="AS33" s="110"/>
      <c r="AT33" s="226"/>
      <c r="AU33" s="462"/>
      <c r="AY33" s="226"/>
      <c r="AZ33" s="462"/>
    </row>
    <row r="34" spans="2:55" s="95" customFormat="1" x14ac:dyDescent="0.25">
      <c r="B34" s="462"/>
      <c r="D34" s="110"/>
      <c r="E34" s="466"/>
      <c r="F34" s="226"/>
      <c r="G34" s="462"/>
      <c r="I34" s="110"/>
      <c r="J34" s="463"/>
      <c r="K34" s="226"/>
      <c r="L34" s="462"/>
      <c r="N34" s="110"/>
      <c r="O34" s="462"/>
      <c r="P34" s="226"/>
      <c r="Q34" s="462"/>
      <c r="S34" s="110"/>
      <c r="T34" s="468"/>
      <c r="U34" s="229"/>
      <c r="V34" s="469"/>
      <c r="W34" s="110"/>
      <c r="Y34" s="110"/>
      <c r="Z34" s="229"/>
      <c r="AA34" s="469"/>
      <c r="AB34" s="110"/>
      <c r="AC34" s="110"/>
      <c r="AD34" s="110"/>
      <c r="AE34" s="229"/>
      <c r="AF34" s="469"/>
      <c r="AG34" s="110"/>
      <c r="AH34" s="110"/>
      <c r="AI34" s="110"/>
      <c r="AJ34" s="226"/>
      <c r="AK34" s="110"/>
      <c r="AL34" s="110"/>
      <c r="AM34" s="110"/>
      <c r="AN34" s="110"/>
      <c r="AO34" s="226"/>
      <c r="AP34" s="469"/>
      <c r="AQ34" s="110"/>
      <c r="AR34" s="110"/>
      <c r="AS34" s="110"/>
      <c r="AT34" s="226"/>
      <c r="AU34" s="462"/>
      <c r="AY34" s="226"/>
      <c r="AZ34" s="462"/>
    </row>
    <row r="35" spans="2:55" s="95" customFormat="1" x14ac:dyDescent="0.25">
      <c r="B35" s="614" t="s">
        <v>123</v>
      </c>
      <c r="C35" s="615"/>
      <c r="D35" s="615"/>
      <c r="E35" s="616"/>
      <c r="F35" s="226"/>
      <c r="G35" s="614" t="s">
        <v>113</v>
      </c>
      <c r="H35" s="615"/>
      <c r="I35" s="615"/>
      <c r="J35" s="616"/>
      <c r="K35" s="226"/>
      <c r="L35" s="614" t="s">
        <v>138</v>
      </c>
      <c r="M35" s="615"/>
      <c r="N35" s="615"/>
      <c r="O35" s="616"/>
      <c r="P35" s="226"/>
      <c r="Q35" s="614" t="s">
        <v>139</v>
      </c>
      <c r="R35" s="615"/>
      <c r="S35" s="615"/>
      <c r="T35" s="616"/>
      <c r="U35" s="226"/>
      <c r="V35" s="614" t="s">
        <v>140</v>
      </c>
      <c r="W35" s="615"/>
      <c r="X35" s="615"/>
      <c r="Y35" s="616"/>
      <c r="Z35" s="226"/>
      <c r="AA35" s="617"/>
      <c r="AB35" s="618"/>
      <c r="AC35" s="618"/>
      <c r="AD35" s="619"/>
      <c r="AE35" s="226"/>
      <c r="AF35" s="617"/>
      <c r="AG35" s="618"/>
      <c r="AH35" s="618"/>
      <c r="AI35" s="619"/>
      <c r="AJ35" s="226"/>
      <c r="AO35" s="226"/>
      <c r="AP35" s="462"/>
      <c r="AT35" s="226"/>
      <c r="AU35" s="462"/>
      <c r="AY35" s="226"/>
      <c r="AZ35" s="462"/>
    </row>
    <row r="36" spans="2:55" s="95" customFormat="1" x14ac:dyDescent="0.25">
      <c r="B36" s="462"/>
      <c r="C36" s="101"/>
      <c r="D36" s="95">
        <f>'[1]Lanç x1'!D6</f>
        <v>500000</v>
      </c>
      <c r="E36" s="461">
        <v>1</v>
      </c>
      <c r="F36" s="226"/>
      <c r="G36" s="462"/>
      <c r="H36" s="101"/>
      <c r="I36" s="95">
        <f>'[1]Lanç x1'!D147</f>
        <v>1538.6188655664109</v>
      </c>
      <c r="J36" s="413" t="s">
        <v>500</v>
      </c>
      <c r="K36" s="226"/>
      <c r="L36" s="462"/>
      <c r="M36" s="101"/>
      <c r="N36" s="95">
        <f>'[1]Lanç x1'!D7</f>
        <v>50000</v>
      </c>
      <c r="O36" s="465">
        <v>1</v>
      </c>
      <c r="P36" s="226"/>
      <c r="Q36" s="460" t="s">
        <v>500</v>
      </c>
      <c r="R36" s="101">
        <f>'[1]Lanç x1'!D146</f>
        <v>1538.6188655664109</v>
      </c>
      <c r="S36" s="103">
        <f>C83</f>
        <v>30772.377311328219</v>
      </c>
      <c r="T36" s="413" t="s">
        <v>501</v>
      </c>
      <c r="U36" s="226"/>
      <c r="V36" s="462"/>
      <c r="W36" s="101"/>
      <c r="X36" s="232">
        <f>'[1]Lanç x1'!D157</f>
        <v>11693.503378304722</v>
      </c>
      <c r="Y36" s="227" t="s">
        <v>502</v>
      </c>
      <c r="Z36" s="226"/>
      <c r="AA36" s="462"/>
      <c r="AC36" s="104"/>
      <c r="AE36" s="226"/>
      <c r="AF36" s="462"/>
      <c r="AH36" s="104"/>
      <c r="AJ36" s="226"/>
      <c r="AO36" s="226"/>
      <c r="AP36" s="462"/>
      <c r="AT36" s="226"/>
      <c r="AU36" s="462"/>
      <c r="AY36" s="226"/>
      <c r="AZ36" s="462"/>
    </row>
    <row r="37" spans="2:55" s="95" customFormat="1" x14ac:dyDescent="0.25">
      <c r="B37" s="462"/>
      <c r="C37" s="97"/>
      <c r="E37" s="466"/>
      <c r="F37" s="226"/>
      <c r="G37" s="462"/>
      <c r="H37" s="97"/>
      <c r="J37" s="463"/>
      <c r="K37" s="226"/>
      <c r="L37" s="462"/>
      <c r="M37" s="97"/>
      <c r="O37" s="462"/>
      <c r="P37" s="226"/>
      <c r="Q37" s="460" t="s">
        <v>498</v>
      </c>
      <c r="R37" s="470">
        <f>'[1]Lanç x1'!D151</f>
        <v>17540.255067457081</v>
      </c>
      <c r="T37" s="463"/>
      <c r="U37" s="226"/>
      <c r="V37" s="462"/>
      <c r="W37" s="97"/>
      <c r="Z37" s="226"/>
      <c r="AA37" s="462"/>
      <c r="AC37" s="94"/>
      <c r="AE37" s="226"/>
      <c r="AF37" s="462"/>
      <c r="AH37" s="94"/>
      <c r="AJ37" s="226"/>
      <c r="AO37" s="226"/>
      <c r="AP37" s="462"/>
      <c r="AT37" s="226"/>
      <c r="AU37" s="462"/>
      <c r="AY37" s="226"/>
      <c r="AZ37" s="462"/>
    </row>
    <row r="38" spans="2:55" s="95" customFormat="1" x14ac:dyDescent="0.25">
      <c r="B38" s="462"/>
      <c r="C38" s="97"/>
      <c r="E38" s="466"/>
      <c r="F38" s="226"/>
      <c r="G38" s="462"/>
      <c r="H38" s="97"/>
      <c r="J38" s="463"/>
      <c r="K38" s="226"/>
      <c r="L38" s="462"/>
      <c r="M38" s="97"/>
      <c r="O38" s="462"/>
      <c r="P38" s="226"/>
      <c r="Q38" s="465" t="s">
        <v>502</v>
      </c>
      <c r="R38" s="97">
        <f>'[1]Lanç x1'!D156</f>
        <v>11693.503378304722</v>
      </c>
      <c r="T38" s="463"/>
      <c r="U38" s="226"/>
      <c r="V38" s="462"/>
      <c r="W38" s="97"/>
      <c r="Z38" s="226"/>
      <c r="AA38" s="462"/>
      <c r="AC38" s="94"/>
      <c r="AE38" s="226"/>
      <c r="AF38" s="462"/>
      <c r="AH38" s="94"/>
      <c r="AJ38" s="226"/>
      <c r="AO38" s="226"/>
      <c r="AP38" s="462"/>
      <c r="AT38" s="226"/>
      <c r="AU38" s="462"/>
      <c r="AY38" s="226"/>
      <c r="AZ38" s="462"/>
    </row>
    <row r="39" spans="2:55" s="95" customFormat="1" x14ac:dyDescent="0.25">
      <c r="B39" s="462"/>
      <c r="C39" s="97"/>
      <c r="E39" s="466"/>
      <c r="F39" s="226"/>
      <c r="G39" s="462"/>
      <c r="H39" s="97"/>
      <c r="J39" s="463"/>
      <c r="K39" s="226"/>
      <c r="L39" s="462"/>
      <c r="M39" s="97"/>
      <c r="O39" s="462"/>
      <c r="P39" s="226"/>
      <c r="Q39" s="465"/>
      <c r="R39" s="97"/>
      <c r="T39" s="463"/>
      <c r="U39" s="226"/>
      <c r="V39" s="462"/>
      <c r="W39" s="97"/>
      <c r="Z39" s="226"/>
      <c r="AA39" s="462"/>
      <c r="AC39" s="94"/>
      <c r="AE39" s="226"/>
      <c r="AF39" s="462"/>
      <c r="AH39" s="94"/>
      <c r="AJ39" s="226"/>
      <c r="AO39" s="226"/>
      <c r="AP39" s="462"/>
      <c r="AT39" s="226"/>
      <c r="AU39" s="462"/>
      <c r="AY39" s="226"/>
      <c r="AZ39" s="462"/>
    </row>
    <row r="40" spans="2:55" s="95" customFormat="1" x14ac:dyDescent="0.25">
      <c r="B40" s="462"/>
      <c r="C40" s="97"/>
      <c r="E40" s="466"/>
      <c r="F40" s="226"/>
      <c r="G40" s="462"/>
      <c r="H40" s="97"/>
      <c r="J40" s="463"/>
      <c r="K40" s="226"/>
      <c r="L40" s="462"/>
      <c r="M40" s="97"/>
      <c r="O40" s="462"/>
      <c r="P40" s="226"/>
      <c r="Q40" s="465"/>
      <c r="R40" s="97"/>
      <c r="T40" s="463"/>
      <c r="U40" s="226"/>
      <c r="V40" s="462"/>
      <c r="W40" s="97"/>
      <c r="Z40" s="226"/>
      <c r="AA40" s="462"/>
      <c r="AC40" s="94"/>
      <c r="AE40" s="226"/>
      <c r="AF40" s="462"/>
      <c r="AH40" s="94"/>
      <c r="AJ40" s="226"/>
      <c r="AO40" s="226"/>
      <c r="AP40" s="462"/>
      <c r="AT40" s="226"/>
      <c r="AU40" s="462"/>
      <c r="AY40" s="226"/>
      <c r="AZ40" s="462"/>
    </row>
    <row r="41" spans="2:55" s="95" customFormat="1" x14ac:dyDescent="0.25">
      <c r="B41" s="462"/>
      <c r="C41" s="97"/>
      <c r="E41" s="466"/>
      <c r="F41" s="226"/>
      <c r="G41" s="462"/>
      <c r="H41" s="97"/>
      <c r="J41" s="463"/>
      <c r="K41" s="226"/>
      <c r="L41" s="462"/>
      <c r="M41" s="97"/>
      <c r="O41" s="462"/>
      <c r="P41" s="226"/>
      <c r="Q41" s="465"/>
      <c r="R41" s="97"/>
      <c r="T41" s="463"/>
      <c r="U41" s="226"/>
      <c r="V41" s="462"/>
      <c r="W41" s="97"/>
      <c r="Z41" s="226"/>
      <c r="AA41" s="462"/>
      <c r="AC41" s="94"/>
      <c r="AE41" s="226"/>
      <c r="AF41" s="462"/>
      <c r="AH41" s="94"/>
      <c r="AJ41" s="226"/>
      <c r="AO41" s="226"/>
      <c r="AP41" s="462"/>
      <c r="AT41" s="226"/>
      <c r="AU41" s="462"/>
      <c r="AY41" s="226"/>
      <c r="AZ41" s="462"/>
    </row>
    <row r="42" spans="2:55" s="95" customFormat="1" x14ac:dyDescent="0.25">
      <c r="B42" s="462"/>
      <c r="C42" s="97"/>
      <c r="E42" s="466"/>
      <c r="F42" s="226"/>
      <c r="G42" s="462"/>
      <c r="H42" s="97"/>
      <c r="J42" s="463"/>
      <c r="K42" s="226"/>
      <c r="L42" s="462"/>
      <c r="M42" s="97"/>
      <c r="O42" s="462"/>
      <c r="P42" s="226"/>
      <c r="Q42" s="462"/>
      <c r="R42" s="97"/>
      <c r="T42" s="463"/>
      <c r="U42" s="226"/>
      <c r="V42" s="462"/>
      <c r="W42" s="97"/>
      <c r="Z42" s="226"/>
      <c r="AA42" s="462"/>
      <c r="AC42" s="94"/>
      <c r="AE42" s="226"/>
      <c r="AF42" s="462"/>
      <c r="AH42" s="94"/>
      <c r="AJ42" s="226"/>
      <c r="AO42" s="226"/>
      <c r="AP42" s="462"/>
      <c r="AT42" s="226"/>
      <c r="AU42" s="462"/>
      <c r="AY42" s="226"/>
      <c r="AZ42" s="462"/>
    </row>
    <row r="43" spans="2:55" s="95" customFormat="1" x14ac:dyDescent="0.25">
      <c r="B43" s="462"/>
      <c r="C43" s="102">
        <f>SUM(C36:C42)</f>
        <v>0</v>
      </c>
      <c r="D43" s="104">
        <f>SUM(D36:D42)</f>
        <v>500000</v>
      </c>
      <c r="E43" s="466"/>
      <c r="F43" s="226"/>
      <c r="G43" s="462"/>
      <c r="H43" s="102">
        <f>SUM(H36:H42)</f>
        <v>0</v>
      </c>
      <c r="I43" s="104">
        <f>SUM(I36:I42)</f>
        <v>1538.6188655664109</v>
      </c>
      <c r="J43" s="463"/>
      <c r="K43" s="226"/>
      <c r="L43" s="462"/>
      <c r="M43" s="102">
        <f>SUM(M36:M42)</f>
        <v>0</v>
      </c>
      <c r="N43" s="104">
        <f>SUM(N36:N42)</f>
        <v>50000</v>
      </c>
      <c r="O43" s="462"/>
      <c r="P43" s="226"/>
      <c r="Q43" s="462"/>
      <c r="R43" s="101">
        <f>SUM(R36:R38)</f>
        <v>30772.377311328215</v>
      </c>
      <c r="S43" s="102">
        <f>SUM(S36:S42)</f>
        <v>30772.377311328219</v>
      </c>
      <c r="T43" s="463"/>
      <c r="U43" s="226"/>
      <c r="V43" s="462"/>
      <c r="W43" s="101">
        <f>SUM(W36:W42)</f>
        <v>0</v>
      </c>
      <c r="X43" s="102">
        <f>SUM(X36:X42)</f>
        <v>11693.503378304722</v>
      </c>
      <c r="Z43" s="226"/>
      <c r="AA43" s="462"/>
      <c r="AB43" s="102"/>
      <c r="AC43" s="104"/>
      <c r="AE43" s="226"/>
      <c r="AF43" s="462"/>
      <c r="AG43" s="102"/>
      <c r="AH43" s="104"/>
      <c r="AJ43" s="226"/>
      <c r="AO43" s="226"/>
      <c r="AP43" s="462"/>
      <c r="AT43" s="226"/>
      <c r="AU43" s="462"/>
      <c r="AY43" s="226"/>
      <c r="AZ43" s="462"/>
    </row>
    <row r="44" spans="2:55" s="95" customFormat="1" x14ac:dyDescent="0.25">
      <c r="B44" s="462"/>
      <c r="E44" s="466"/>
      <c r="F44" s="226"/>
      <c r="G44" s="462"/>
      <c r="J44" s="463"/>
      <c r="K44" s="226"/>
      <c r="L44" s="462"/>
      <c r="O44" s="462"/>
      <c r="P44" s="226"/>
      <c r="Q44" s="460" t="s">
        <v>86</v>
      </c>
      <c r="R44" s="95">
        <f>S44</f>
        <v>0</v>
      </c>
      <c r="S44" s="110">
        <f>S43-R43</f>
        <v>0</v>
      </c>
      <c r="T44" s="463"/>
      <c r="U44" s="226"/>
      <c r="V44" s="462"/>
      <c r="Z44" s="226"/>
      <c r="AA44" s="462"/>
      <c r="AE44" s="226"/>
      <c r="AF44" s="462"/>
      <c r="AJ44" s="226"/>
      <c r="AO44" s="226"/>
      <c r="AP44" s="462"/>
      <c r="AT44" s="226"/>
      <c r="AU44" s="462"/>
      <c r="AY44" s="226"/>
      <c r="AZ44" s="462"/>
    </row>
    <row r="45" spans="2:55" s="95" customFormat="1" x14ac:dyDescent="0.25">
      <c r="B45" s="462"/>
      <c r="E45" s="466"/>
      <c r="F45" s="226"/>
      <c r="G45" s="462"/>
      <c r="J45" s="463"/>
      <c r="K45" s="226"/>
      <c r="L45" s="462"/>
      <c r="O45" s="462"/>
      <c r="P45" s="226"/>
      <c r="Q45" s="460"/>
      <c r="S45" s="110"/>
      <c r="T45" s="463"/>
      <c r="U45" s="226"/>
      <c r="V45" s="462"/>
      <c r="Z45" s="226"/>
      <c r="AA45" s="462"/>
      <c r="AE45" s="226"/>
      <c r="AF45" s="462"/>
      <c r="AJ45" s="226"/>
      <c r="AO45" s="226"/>
      <c r="AP45" s="462"/>
      <c r="AT45" s="226"/>
      <c r="AU45" s="462"/>
      <c r="AY45" s="226"/>
      <c r="AZ45" s="462"/>
    </row>
    <row r="46" spans="2:55" s="95" customFormat="1" x14ac:dyDescent="0.25">
      <c r="B46" s="596" t="s">
        <v>422</v>
      </c>
      <c r="C46" s="597"/>
      <c r="D46" s="597"/>
      <c r="E46" s="598"/>
      <c r="F46" s="226"/>
      <c r="G46" s="596" t="s">
        <v>427</v>
      </c>
      <c r="H46" s="597"/>
      <c r="I46" s="597"/>
      <c r="J46" s="598"/>
      <c r="K46" s="226"/>
      <c r="L46" s="596" t="s">
        <v>428</v>
      </c>
      <c r="M46" s="597"/>
      <c r="N46" s="597"/>
      <c r="O46" s="598"/>
      <c r="P46" s="229"/>
      <c r="Q46" s="596" t="s">
        <v>462</v>
      </c>
      <c r="R46" s="597"/>
      <c r="S46" s="597"/>
      <c r="T46" s="598"/>
      <c r="U46" s="229"/>
      <c r="V46" s="596" t="s">
        <v>460</v>
      </c>
      <c r="W46" s="597"/>
      <c r="X46" s="597"/>
      <c r="Y46" s="598"/>
      <c r="Z46" s="229"/>
      <c r="AA46" s="596" t="s">
        <v>120</v>
      </c>
      <c r="AB46" s="597"/>
      <c r="AC46" s="597"/>
      <c r="AD46" s="598"/>
      <c r="AE46" s="226"/>
      <c r="AF46" s="596" t="s">
        <v>424</v>
      </c>
      <c r="AG46" s="597"/>
      <c r="AH46" s="597"/>
      <c r="AI46" s="598"/>
      <c r="AJ46" s="226"/>
      <c r="AK46" s="596" t="s">
        <v>431</v>
      </c>
      <c r="AL46" s="597"/>
      <c r="AM46" s="597"/>
      <c r="AN46" s="598"/>
      <c r="AO46" s="226"/>
      <c r="AP46" s="596" t="s">
        <v>503</v>
      </c>
      <c r="AQ46" s="597"/>
      <c r="AR46" s="597"/>
      <c r="AS46" s="598"/>
      <c r="AT46" s="226"/>
      <c r="AU46" s="596" t="s">
        <v>504</v>
      </c>
      <c r="AV46" s="597"/>
      <c r="AW46" s="597"/>
      <c r="AX46" s="598"/>
      <c r="AY46" s="226"/>
      <c r="AZ46" s="596" t="s">
        <v>505</v>
      </c>
      <c r="BA46" s="597"/>
      <c r="BB46" s="597"/>
      <c r="BC46" s="598"/>
    </row>
    <row r="47" spans="2:55" s="95" customFormat="1" x14ac:dyDescent="0.25">
      <c r="B47" s="471">
        <v>4</v>
      </c>
      <c r="C47" s="23">
        <f>'[1]Lanç x1'!D25</f>
        <v>700</v>
      </c>
      <c r="D47" s="232"/>
      <c r="E47" s="466"/>
      <c r="F47" s="226"/>
      <c r="G47" s="460" t="s">
        <v>490</v>
      </c>
      <c r="H47" s="96">
        <f>'[1]Lanç x1'!D38</f>
        <v>3320.0000000000005</v>
      </c>
      <c r="J47" s="463"/>
      <c r="K47" s="226"/>
      <c r="L47" s="460" t="s">
        <v>496</v>
      </c>
      <c r="M47" s="96">
        <f>'[1]Lanç x1'!D41</f>
        <v>6800.0000000000009</v>
      </c>
      <c r="O47" s="462"/>
      <c r="P47" s="226"/>
      <c r="Q47" s="460" t="s">
        <v>499</v>
      </c>
      <c r="R47" s="96">
        <f>'[1]DRE x1'!F40</f>
        <v>4196.2332697265747</v>
      </c>
      <c r="T47" s="463"/>
      <c r="U47" s="226"/>
      <c r="V47" s="460" t="s">
        <v>90</v>
      </c>
      <c r="W47" s="96">
        <f>'[1]DRE x1'!F39</f>
        <v>11656.203527018264</v>
      </c>
      <c r="Z47" s="226"/>
      <c r="AA47" s="464" t="s">
        <v>54</v>
      </c>
      <c r="AB47" s="101">
        <v>5000</v>
      </c>
      <c r="AE47" s="226"/>
      <c r="AF47" s="460">
        <v>5</v>
      </c>
      <c r="AG47" s="23">
        <f>'[1]Lanç x1'!D30</f>
        <v>2000</v>
      </c>
      <c r="AH47" s="232"/>
      <c r="AJ47" s="226"/>
      <c r="AK47" s="227" t="s">
        <v>492</v>
      </c>
      <c r="AL47" s="96">
        <f>'[1]Lanç x1'!D44</f>
        <v>300</v>
      </c>
      <c r="AM47" s="232"/>
      <c r="AO47" s="226"/>
      <c r="AP47" s="460" t="s">
        <v>167</v>
      </c>
      <c r="AQ47" s="96">
        <f>'[1]Lanç x1'!D120</f>
        <v>21266.666666666668</v>
      </c>
      <c r="AR47" s="232"/>
      <c r="AT47" s="226"/>
      <c r="AU47" s="460" t="s">
        <v>43</v>
      </c>
      <c r="AV47" s="96">
        <f>'[1]Lanç x1'!D52</f>
        <v>600</v>
      </c>
      <c r="AW47" s="232"/>
      <c r="AY47" s="226"/>
      <c r="AZ47" s="460" t="s">
        <v>491</v>
      </c>
      <c r="BA47" s="96">
        <f>'[1]Lanç x1'!D93</f>
        <v>150</v>
      </c>
      <c r="BB47" s="232"/>
    </row>
    <row r="48" spans="2:55" s="95" customFormat="1" x14ac:dyDescent="0.25">
      <c r="B48" s="460"/>
      <c r="C48" s="23"/>
      <c r="D48" s="98"/>
      <c r="E48" s="466"/>
      <c r="F48" s="226"/>
      <c r="G48" s="460" t="s">
        <v>46</v>
      </c>
      <c r="H48" s="23">
        <f>'[1]Lanç x1'!D66</f>
        <v>3112.5</v>
      </c>
      <c r="J48" s="463"/>
      <c r="K48" s="226"/>
      <c r="L48" s="460" t="s">
        <v>47</v>
      </c>
      <c r="M48" s="23">
        <f>'[1]Lanç x1'!D69</f>
        <v>6120</v>
      </c>
      <c r="O48" s="462"/>
      <c r="P48" s="226"/>
      <c r="Q48" s="462"/>
      <c r="R48" s="97"/>
      <c r="T48" s="463"/>
      <c r="U48" s="226"/>
      <c r="V48" s="462"/>
      <c r="W48" s="97"/>
      <c r="Z48" s="226"/>
      <c r="AA48" s="464" t="s">
        <v>54</v>
      </c>
      <c r="AB48" s="97">
        <v>2000</v>
      </c>
      <c r="AE48" s="226"/>
      <c r="AF48" s="460"/>
      <c r="AG48" s="23"/>
      <c r="AH48" s="98"/>
      <c r="AJ48" s="226"/>
      <c r="AK48" s="227" t="s">
        <v>493</v>
      </c>
      <c r="AL48" s="23">
        <f>'[1]Lanç x1'!D83</f>
        <v>150</v>
      </c>
      <c r="AM48" s="98"/>
      <c r="AO48" s="226"/>
      <c r="AP48" s="460"/>
      <c r="AQ48" s="23"/>
      <c r="AR48" s="98"/>
      <c r="AT48" s="226"/>
      <c r="AU48" s="460"/>
      <c r="AV48" s="23"/>
      <c r="AW48" s="98"/>
      <c r="AY48" s="226"/>
      <c r="AZ48" s="460" t="s">
        <v>497</v>
      </c>
      <c r="BA48" s="23">
        <f>'[1]Lanç x1'!D107</f>
        <v>1237.2692252602719</v>
      </c>
      <c r="BB48" s="98"/>
    </row>
    <row r="49" spans="1:55" x14ac:dyDescent="0.25">
      <c r="C49" s="97"/>
      <c r="D49" s="99"/>
      <c r="G49" s="460">
        <v>10</v>
      </c>
      <c r="H49" s="472">
        <f>'[1]Lanç x1'!D77</f>
        <v>2593.75</v>
      </c>
      <c r="L49" s="460" t="s">
        <v>50</v>
      </c>
      <c r="M49" s="23">
        <f>'[1]Lanç x1'!D80</f>
        <v>5525</v>
      </c>
      <c r="R49" s="97"/>
      <c r="W49" s="97"/>
      <c r="AA49" s="464" t="s">
        <v>54</v>
      </c>
      <c r="AB49" s="97">
        <f>'[1]Lanç x1'!D114</f>
        <v>1000</v>
      </c>
      <c r="AG49" s="97"/>
      <c r="AH49" s="99"/>
      <c r="AL49" s="97"/>
      <c r="AM49" s="99"/>
      <c r="AQ49" s="97"/>
      <c r="AR49" s="99"/>
      <c r="AV49" s="97"/>
      <c r="AW49" s="99"/>
      <c r="BA49" s="97"/>
      <c r="BB49" s="99"/>
    </row>
    <row r="50" spans="1:55" x14ac:dyDescent="0.25">
      <c r="C50" s="97"/>
      <c r="H50" s="97"/>
      <c r="M50" s="97"/>
      <c r="R50" s="97"/>
      <c r="W50" s="97"/>
      <c r="AB50" s="97"/>
      <c r="AG50" s="97"/>
      <c r="AL50" s="97"/>
      <c r="AQ50" s="97"/>
      <c r="AV50" s="97"/>
      <c r="BA50" s="97"/>
    </row>
    <row r="51" spans="1:55" x14ac:dyDescent="0.25">
      <c r="C51" s="97"/>
      <c r="H51" s="97"/>
      <c r="M51" s="97"/>
      <c r="R51" s="97"/>
      <c r="W51" s="97"/>
      <c r="AB51" s="97"/>
      <c r="AG51" s="97"/>
      <c r="AL51" s="97"/>
      <c r="AQ51" s="97"/>
      <c r="AV51" s="97"/>
      <c r="BA51" s="97"/>
    </row>
    <row r="52" spans="1:55" x14ac:dyDescent="0.25">
      <c r="C52" s="97"/>
      <c r="H52" s="97"/>
      <c r="M52" s="97"/>
      <c r="R52" s="97"/>
      <c r="W52" s="97"/>
      <c r="AB52" s="97"/>
      <c r="AG52" s="97"/>
      <c r="AL52" s="97"/>
      <c r="AQ52" s="97"/>
      <c r="AV52" s="97"/>
      <c r="BA52" s="97"/>
    </row>
    <row r="53" spans="1:55" x14ac:dyDescent="0.25">
      <c r="C53" s="97"/>
      <c r="H53" s="97"/>
      <c r="M53" s="97"/>
      <c r="R53" s="97"/>
      <c r="W53" s="97"/>
      <c r="AB53" s="97"/>
      <c r="AG53" s="97"/>
      <c r="AL53" s="97"/>
      <c r="AQ53" s="97"/>
      <c r="AV53" s="97"/>
      <c r="BA53" s="97"/>
    </row>
    <row r="54" spans="1:55" x14ac:dyDescent="0.25">
      <c r="C54" s="97"/>
      <c r="H54" s="97"/>
      <c r="M54" s="97"/>
      <c r="R54" s="97"/>
      <c r="W54" s="97"/>
      <c r="AB54" s="97"/>
      <c r="AG54" s="97"/>
      <c r="AL54" s="97"/>
      <c r="AQ54" s="97"/>
      <c r="AV54" s="97"/>
      <c r="BA54" s="97"/>
    </row>
    <row r="55" spans="1:55" x14ac:dyDescent="0.25">
      <c r="C55" s="97"/>
      <c r="H55" s="97"/>
      <c r="M55" s="97"/>
      <c r="R55" s="97"/>
      <c r="W55" s="97"/>
      <c r="AB55" s="97"/>
      <c r="AG55" s="97"/>
      <c r="AL55" s="97"/>
      <c r="AQ55" s="97"/>
      <c r="AV55" s="97"/>
      <c r="BA55" s="97"/>
    </row>
    <row r="56" spans="1:55" x14ac:dyDescent="0.25">
      <c r="C56" s="97"/>
      <c r="H56" s="97"/>
      <c r="M56" s="97"/>
      <c r="R56" s="97"/>
      <c r="W56" s="97"/>
      <c r="AB56" s="97"/>
      <c r="AG56" s="97"/>
      <c r="AL56" s="97"/>
      <c r="AQ56" s="97"/>
      <c r="AV56" s="97"/>
      <c r="BA56" s="97"/>
    </row>
    <row r="57" spans="1:55" x14ac:dyDescent="0.25">
      <c r="C57" s="101">
        <f>SUM(C47:C56)</f>
        <v>700</v>
      </c>
      <c r="D57" s="102">
        <f>SUM(D47:D56)</f>
        <v>0</v>
      </c>
      <c r="H57" s="101">
        <f>SUM(H47:H56)</f>
        <v>9026.25</v>
      </c>
      <c r="I57" s="102">
        <f>SUM(I47:I56)</f>
        <v>0</v>
      </c>
      <c r="J57" s="473"/>
      <c r="M57" s="101">
        <f>SUM(M47:M56)</f>
        <v>18445</v>
      </c>
      <c r="N57" s="102">
        <f>SUM(N47:N56)</f>
        <v>0</v>
      </c>
      <c r="O57" s="474"/>
      <c r="R57" s="101">
        <f>SUM(R47:R56)</f>
        <v>4196.2332697265747</v>
      </c>
      <c r="S57" s="102">
        <f>SUM(S47:S56)</f>
        <v>0</v>
      </c>
      <c r="T57" s="473"/>
      <c r="W57" s="101">
        <f>SUM(W47:W56)</f>
        <v>11656.203527018264</v>
      </c>
      <c r="X57" s="102">
        <f>SUM(X47:X56)</f>
        <v>0</v>
      </c>
      <c r="Y57" s="99"/>
      <c r="AB57" s="101">
        <f>SUM(AB47:AB56)</f>
        <v>8000</v>
      </c>
      <c r="AC57" s="102">
        <f>SUM(AC47:AC56)</f>
        <v>0</v>
      </c>
      <c r="AD57" s="99"/>
      <c r="AG57" s="101">
        <f>SUM(AG47:AG56)</f>
        <v>2000</v>
      </c>
      <c r="AH57" s="102">
        <f>SUM(AH47:AH56)</f>
        <v>0</v>
      </c>
      <c r="AL57" s="101">
        <f>SUM(AL47:AL56)</f>
        <v>450</v>
      </c>
      <c r="AM57" s="102">
        <f>SUM(AM47:AM56)</f>
        <v>0</v>
      </c>
      <c r="AQ57" s="101">
        <f>SUM(AQ47:AQ56)</f>
        <v>21266.666666666668</v>
      </c>
      <c r="AR57" s="102">
        <f>SUM(AR47:AR56)</f>
        <v>0</v>
      </c>
      <c r="AV57" s="101">
        <f>SUM(AV47:AV56)</f>
        <v>600</v>
      </c>
      <c r="AW57" s="102">
        <f>SUM(AW47:AW56)</f>
        <v>0</v>
      </c>
      <c r="BA57" s="101">
        <f>SUM(BA47:BA56)</f>
        <v>1387.2692252602719</v>
      </c>
      <c r="BB57" s="102">
        <f>SUM(BB47:BB56)</f>
        <v>0</v>
      </c>
    </row>
    <row r="58" spans="1:55" s="110" customFormat="1" x14ac:dyDescent="0.25">
      <c r="A58" s="229"/>
      <c r="B58" s="469"/>
      <c r="C58" s="110">
        <f>C57-D57</f>
        <v>700</v>
      </c>
      <c r="D58" s="110">
        <f>C58</f>
        <v>700</v>
      </c>
      <c r="E58" s="475" t="s">
        <v>91</v>
      </c>
      <c r="F58" s="229"/>
      <c r="G58" s="469"/>
      <c r="H58" s="110">
        <f>H57-I57</f>
        <v>9026.25</v>
      </c>
      <c r="I58" s="110">
        <f>H58</f>
        <v>9026.25</v>
      </c>
      <c r="J58" s="468" t="s">
        <v>91</v>
      </c>
      <c r="K58" s="229"/>
      <c r="L58" s="469"/>
      <c r="M58" s="110">
        <f>M57-N57</f>
        <v>18445</v>
      </c>
      <c r="N58" s="110">
        <f>M58</f>
        <v>18445</v>
      </c>
      <c r="O58" s="469" t="s">
        <v>91</v>
      </c>
      <c r="P58" s="229"/>
      <c r="Q58" s="469"/>
      <c r="R58" s="110">
        <f>R57-S57</f>
        <v>4196.2332697265747</v>
      </c>
      <c r="S58" s="110">
        <f>R58</f>
        <v>4196.2332697265747</v>
      </c>
      <c r="T58" s="468" t="s">
        <v>91</v>
      </c>
      <c r="U58" s="229"/>
      <c r="V58" s="469"/>
      <c r="W58" s="110">
        <f>W57-X57</f>
        <v>11656.203527018264</v>
      </c>
      <c r="X58" s="110">
        <f>W58</f>
        <v>11656.203527018264</v>
      </c>
      <c r="Y58" s="110" t="s">
        <v>91</v>
      </c>
      <c r="Z58" s="229"/>
      <c r="AA58" s="469"/>
      <c r="AB58" s="110">
        <f>AB57-AC57</f>
        <v>8000</v>
      </c>
      <c r="AC58" s="110">
        <f>AB58</f>
        <v>8000</v>
      </c>
      <c r="AD58" s="110" t="s">
        <v>91</v>
      </c>
      <c r="AE58" s="229"/>
      <c r="AF58" s="469"/>
      <c r="AG58" s="110">
        <f>AG57-AH57</f>
        <v>2000</v>
      </c>
      <c r="AH58" s="110">
        <f>AG58</f>
        <v>2000</v>
      </c>
      <c r="AI58" s="110" t="s">
        <v>91</v>
      </c>
      <c r="AJ58" s="229"/>
      <c r="AL58" s="110">
        <f>AL57-AM57</f>
        <v>450</v>
      </c>
      <c r="AM58" s="110">
        <f>AL58</f>
        <v>450</v>
      </c>
      <c r="AN58" s="110" t="s">
        <v>91</v>
      </c>
      <c r="AO58" s="229"/>
      <c r="AP58" s="469"/>
      <c r="AQ58" s="110">
        <f>AQ57-AR57</f>
        <v>21266.666666666668</v>
      </c>
      <c r="AR58" s="110">
        <f>AQ58</f>
        <v>21266.666666666668</v>
      </c>
      <c r="AS58" s="230" t="s">
        <v>91</v>
      </c>
      <c r="AT58" s="229"/>
      <c r="AU58" s="469"/>
      <c r="AV58" s="110">
        <f>AV57-AW57</f>
        <v>600</v>
      </c>
      <c r="AW58" s="110">
        <f>AV58</f>
        <v>600</v>
      </c>
      <c r="AX58" s="110" t="s">
        <v>91</v>
      </c>
      <c r="AY58" s="229"/>
      <c r="AZ58" s="469"/>
      <c r="BA58" s="110">
        <f>BA57-BB57</f>
        <v>1387.2692252602719</v>
      </c>
      <c r="BB58" s="110">
        <f>BA58</f>
        <v>1387.2692252602719</v>
      </c>
      <c r="BC58" s="110" t="s">
        <v>91</v>
      </c>
    </row>
    <row r="59" spans="1:55" s="110" customFormat="1" x14ac:dyDescent="0.25">
      <c r="A59" s="229"/>
      <c r="B59" s="469"/>
      <c r="E59" s="475"/>
      <c r="F59" s="229"/>
      <c r="G59" s="469"/>
      <c r="J59" s="468"/>
      <c r="K59" s="229"/>
      <c r="L59" s="469"/>
      <c r="O59" s="469"/>
      <c r="P59" s="229"/>
      <c r="Q59" s="469"/>
      <c r="T59" s="468"/>
      <c r="U59" s="229"/>
      <c r="V59" s="469"/>
      <c r="Z59" s="229"/>
      <c r="AA59" s="469"/>
      <c r="AE59" s="229"/>
      <c r="AF59" s="469"/>
      <c r="AJ59" s="229"/>
      <c r="AO59" s="229"/>
      <c r="AP59" s="469"/>
      <c r="AS59" s="230"/>
      <c r="AT59" s="229"/>
      <c r="AU59" s="469"/>
      <c r="AY59" s="229"/>
      <c r="AZ59" s="469"/>
    </row>
    <row r="60" spans="1:55" x14ac:dyDescent="0.25">
      <c r="B60" s="599" t="s">
        <v>426</v>
      </c>
      <c r="C60" s="600"/>
      <c r="D60" s="600"/>
      <c r="E60" s="601"/>
      <c r="F60" s="229"/>
      <c r="G60" s="599"/>
      <c r="H60" s="600"/>
      <c r="I60" s="600"/>
      <c r="J60" s="601"/>
      <c r="K60" s="229"/>
      <c r="L60" s="599"/>
      <c r="M60" s="600"/>
      <c r="N60" s="600"/>
      <c r="O60" s="601"/>
      <c r="P60" s="229"/>
      <c r="Q60" s="599"/>
      <c r="R60" s="600"/>
      <c r="S60" s="600"/>
      <c r="T60" s="601"/>
      <c r="U60" s="229"/>
      <c r="V60" s="599"/>
      <c r="W60" s="600"/>
      <c r="X60" s="600"/>
      <c r="Y60" s="601"/>
    </row>
    <row r="61" spans="1:55" x14ac:dyDescent="0.25">
      <c r="C61" s="101"/>
      <c r="D61" s="232">
        <f>'[1]Lanç x1'!D36</f>
        <v>40000</v>
      </c>
      <c r="E61" s="461" t="s">
        <v>34</v>
      </c>
      <c r="H61" s="101"/>
      <c r="I61" s="232"/>
      <c r="J61" s="413"/>
      <c r="M61" s="101"/>
      <c r="R61" s="101"/>
      <c r="W61" s="101"/>
    </row>
    <row r="62" spans="1:55" x14ac:dyDescent="0.25">
      <c r="C62" s="97"/>
      <c r="D62" s="232">
        <f>'[1]Lanç x1'!D64</f>
        <v>36000</v>
      </c>
      <c r="E62" s="461" t="s">
        <v>45</v>
      </c>
      <c r="H62" s="97"/>
      <c r="I62" s="232"/>
      <c r="J62" s="413"/>
      <c r="M62" s="97"/>
      <c r="R62" s="97"/>
      <c r="W62" s="97"/>
    </row>
    <row r="63" spans="1:55" x14ac:dyDescent="0.25">
      <c r="C63" s="97"/>
      <c r="D63" s="98">
        <f>'[1]Lanç x1'!D75</f>
        <v>32500</v>
      </c>
      <c r="E63" s="461" t="s">
        <v>49</v>
      </c>
      <c r="H63" s="97"/>
      <c r="I63" s="93"/>
      <c r="J63" s="413"/>
      <c r="M63" s="97"/>
      <c r="R63" s="97"/>
      <c r="W63" s="97"/>
    </row>
    <row r="64" spans="1:55" x14ac:dyDescent="0.25">
      <c r="C64" s="99"/>
      <c r="D64" s="94"/>
      <c r="H64" s="99"/>
      <c r="I64" s="94"/>
      <c r="M64" s="97"/>
      <c r="R64" s="97"/>
      <c r="W64" s="97"/>
    </row>
    <row r="65" spans="1:53" x14ac:dyDescent="0.25">
      <c r="A65" s="95"/>
      <c r="C65" s="97"/>
      <c r="H65" s="97"/>
      <c r="M65" s="97"/>
      <c r="R65" s="97"/>
      <c r="W65" s="97"/>
      <c r="Z65" s="95"/>
      <c r="AE65" s="95"/>
      <c r="AJ65" s="95"/>
      <c r="AO65" s="95"/>
      <c r="AT65" s="95"/>
      <c r="AY65" s="95"/>
      <c r="BA65" s="462"/>
    </row>
    <row r="66" spans="1:53" x14ac:dyDescent="0.25">
      <c r="A66" s="95"/>
      <c r="C66" s="101">
        <f>SUM(C61:C65)</f>
        <v>0</v>
      </c>
      <c r="D66" s="102">
        <f>SUM(D61:D65)</f>
        <v>108500</v>
      </c>
      <c r="H66" s="101"/>
      <c r="I66" s="102"/>
      <c r="M66" s="101"/>
      <c r="N66" s="102"/>
      <c r="R66" s="101"/>
      <c r="S66" s="102"/>
      <c r="W66" s="97"/>
      <c r="Z66" s="95"/>
      <c r="AE66" s="95"/>
      <c r="AJ66" s="95"/>
      <c r="AO66" s="95"/>
      <c r="AT66" s="95"/>
      <c r="AY66" s="95"/>
    </row>
    <row r="67" spans="1:53" x14ac:dyDescent="0.25">
      <c r="A67" s="95"/>
      <c r="B67" s="465" t="s">
        <v>90</v>
      </c>
      <c r="C67" s="110">
        <f>D67</f>
        <v>108500</v>
      </c>
      <c r="D67" s="110">
        <f>D66-C66</f>
        <v>108500</v>
      </c>
      <c r="Z67" s="95"/>
      <c r="AE67" s="95"/>
      <c r="AJ67" s="95"/>
      <c r="AO67" s="95"/>
      <c r="AT67" s="95"/>
      <c r="AY67" s="95"/>
    </row>
    <row r="69" spans="1:53" x14ac:dyDescent="0.25">
      <c r="A69" s="95"/>
      <c r="B69" s="602" t="s">
        <v>89</v>
      </c>
      <c r="C69" s="603"/>
      <c r="D69" s="604"/>
      <c r="E69" s="605"/>
      <c r="Z69" s="95"/>
      <c r="AE69" s="95"/>
      <c r="AJ69" s="95"/>
      <c r="AO69" s="95"/>
      <c r="AT69" s="95"/>
      <c r="AY69" s="95"/>
    </row>
    <row r="70" spans="1:53" x14ac:dyDescent="0.25">
      <c r="A70" s="95"/>
      <c r="B70" s="460" t="s">
        <v>91</v>
      </c>
      <c r="C70" s="105">
        <f>H58</f>
        <v>9026.25</v>
      </c>
      <c r="D70" s="107">
        <f>C67</f>
        <v>108500</v>
      </c>
      <c r="E70" s="461" t="s">
        <v>90</v>
      </c>
      <c r="Z70" s="95"/>
      <c r="AE70" s="95"/>
      <c r="AJ70" s="95"/>
      <c r="AO70" s="95"/>
      <c r="AT70" s="95"/>
      <c r="AY70" s="95"/>
    </row>
    <row r="71" spans="1:53" x14ac:dyDescent="0.25">
      <c r="A71" s="95"/>
      <c r="B71" s="460" t="s">
        <v>91</v>
      </c>
      <c r="C71" s="92">
        <f>N58</f>
        <v>18445</v>
      </c>
      <c r="D71" s="93"/>
      <c r="E71" s="461"/>
      <c r="Z71" s="95"/>
      <c r="AE71" s="95"/>
      <c r="AJ71" s="95"/>
      <c r="AO71" s="95"/>
      <c r="AT71" s="95"/>
      <c r="AY71" s="95"/>
    </row>
    <row r="72" spans="1:53" x14ac:dyDescent="0.25">
      <c r="A72" s="95"/>
      <c r="B72" s="460" t="s">
        <v>91</v>
      </c>
      <c r="C72" s="106">
        <f>D58</f>
        <v>700</v>
      </c>
      <c r="D72" s="93"/>
      <c r="E72" s="461"/>
      <c r="Z72" s="95"/>
      <c r="AE72" s="95"/>
      <c r="AJ72" s="95"/>
      <c r="AO72" s="95"/>
      <c r="AT72" s="95"/>
      <c r="AY72" s="95"/>
    </row>
    <row r="73" spans="1:53" x14ac:dyDescent="0.25">
      <c r="A73" s="95"/>
      <c r="B73" s="460" t="s">
        <v>91</v>
      </c>
      <c r="C73" s="92">
        <f>AH58</f>
        <v>2000</v>
      </c>
      <c r="D73" s="93"/>
      <c r="E73" s="461"/>
      <c r="Z73" s="95"/>
      <c r="AE73" s="95"/>
      <c r="AJ73" s="95"/>
      <c r="AO73" s="95"/>
      <c r="AT73" s="95"/>
      <c r="AY73" s="95"/>
    </row>
    <row r="74" spans="1:53" x14ac:dyDescent="0.25">
      <c r="A74" s="95"/>
      <c r="B74" s="460" t="s">
        <v>91</v>
      </c>
      <c r="C74" s="92">
        <f>AM58</f>
        <v>450</v>
      </c>
      <c r="D74" s="93"/>
      <c r="E74" s="461"/>
      <c r="Z74" s="95"/>
      <c r="AE74" s="95"/>
      <c r="AJ74" s="95"/>
      <c r="AO74" s="95"/>
      <c r="AT74" s="95"/>
      <c r="AY74" s="95"/>
    </row>
    <row r="75" spans="1:53" x14ac:dyDescent="0.25">
      <c r="A75" s="95"/>
      <c r="B75" s="460" t="s">
        <v>91</v>
      </c>
      <c r="C75" s="92">
        <f>AC58</f>
        <v>8000</v>
      </c>
      <c r="D75" s="93"/>
      <c r="E75" s="461"/>
      <c r="Z75" s="95"/>
      <c r="AE75" s="95"/>
      <c r="AJ75" s="95"/>
      <c r="AO75" s="95"/>
      <c r="AT75" s="95"/>
      <c r="AY75" s="95"/>
    </row>
    <row r="76" spans="1:53" x14ac:dyDescent="0.25">
      <c r="A76" s="95"/>
      <c r="B76" s="460" t="s">
        <v>91</v>
      </c>
      <c r="C76" s="92">
        <f>AR58</f>
        <v>21266.666666666668</v>
      </c>
      <c r="D76" s="93"/>
      <c r="E76" s="461"/>
      <c r="Z76" s="95"/>
      <c r="AE76" s="95"/>
      <c r="AJ76" s="95"/>
      <c r="AO76" s="95"/>
      <c r="AT76" s="95"/>
      <c r="AY76" s="95"/>
    </row>
    <row r="77" spans="1:53" x14ac:dyDescent="0.25">
      <c r="A77" s="95"/>
      <c r="B77" s="460" t="s">
        <v>91</v>
      </c>
      <c r="C77" s="92">
        <f>AW58</f>
        <v>600</v>
      </c>
      <c r="D77" s="93"/>
      <c r="E77" s="461"/>
      <c r="Z77" s="95"/>
      <c r="AE77" s="95"/>
      <c r="AJ77" s="95"/>
      <c r="AO77" s="95"/>
      <c r="AT77" s="95"/>
      <c r="AY77" s="95"/>
    </row>
    <row r="78" spans="1:53" x14ac:dyDescent="0.25">
      <c r="A78" s="95"/>
      <c r="B78" s="460" t="s">
        <v>91</v>
      </c>
      <c r="C78" s="92">
        <f>BB58</f>
        <v>1387.2692252602719</v>
      </c>
      <c r="D78" s="108"/>
      <c r="E78" s="461"/>
      <c r="Z78" s="95"/>
      <c r="AE78" s="95"/>
      <c r="AJ78" s="95"/>
      <c r="AO78" s="95"/>
      <c r="AT78" s="95"/>
      <c r="AY78" s="95"/>
    </row>
    <row r="79" spans="1:53" x14ac:dyDescent="0.25">
      <c r="A79" s="95"/>
      <c r="C79" s="112">
        <f>SUM(C70:C78)</f>
        <v>61875.185891926943</v>
      </c>
      <c r="D79" s="113">
        <f>SUM(D70:D78)</f>
        <v>108500</v>
      </c>
      <c r="E79" s="461"/>
      <c r="Z79" s="95"/>
      <c r="AE79" s="95"/>
      <c r="AJ79" s="95"/>
      <c r="AO79" s="95"/>
      <c r="AT79" s="95"/>
      <c r="AY79" s="95"/>
    </row>
    <row r="80" spans="1:53" x14ac:dyDescent="0.25">
      <c r="A80" s="95"/>
      <c r="B80" s="464" t="s">
        <v>142</v>
      </c>
      <c r="C80" s="101">
        <f>D80*0.25</f>
        <v>11656.203527018264</v>
      </c>
      <c r="D80" s="104">
        <f>D79-C79</f>
        <v>46624.814108073057</v>
      </c>
      <c r="Z80" s="95"/>
      <c r="AE80" s="95"/>
      <c r="AJ80" s="95"/>
      <c r="AO80" s="95"/>
      <c r="AT80" s="95"/>
      <c r="AY80" s="95"/>
    </row>
    <row r="81" spans="2:52" s="95" customFormat="1" x14ac:dyDescent="0.25">
      <c r="B81" s="464" t="s">
        <v>143</v>
      </c>
      <c r="C81" s="97">
        <f>D80*0.09</f>
        <v>4196.2332697265747</v>
      </c>
      <c r="E81" s="466"/>
      <c r="G81" s="462"/>
      <c r="J81" s="463"/>
      <c r="L81" s="462"/>
      <c r="O81" s="462"/>
      <c r="Q81" s="462"/>
      <c r="T81" s="463"/>
      <c r="V81" s="462"/>
      <c r="AA81" s="462"/>
      <c r="AF81" s="462"/>
      <c r="AP81" s="462"/>
      <c r="AU81" s="462"/>
      <c r="AZ81" s="462"/>
    </row>
    <row r="82" spans="2:52" s="95" customFormat="1" x14ac:dyDescent="0.25">
      <c r="B82" s="462"/>
      <c r="C82" s="114">
        <f>SUM(C80:C81)</f>
        <v>15852.436796744838</v>
      </c>
      <c r="D82" s="115">
        <f>SUM(D80:D81)</f>
        <v>46624.814108073057</v>
      </c>
      <c r="E82" s="466"/>
      <c r="G82" s="462"/>
      <c r="J82" s="463"/>
      <c r="L82" s="462"/>
      <c r="O82" s="462"/>
      <c r="Q82" s="462"/>
      <c r="T82" s="463"/>
      <c r="V82" s="462"/>
      <c r="AA82" s="462"/>
      <c r="AF82" s="462"/>
      <c r="AP82" s="462"/>
      <c r="AU82" s="462"/>
      <c r="AZ82" s="462"/>
    </row>
    <row r="83" spans="2:52" s="95" customFormat="1" x14ac:dyDescent="0.25">
      <c r="B83" s="465" t="s">
        <v>92</v>
      </c>
      <c r="C83" s="476">
        <f>D83</f>
        <v>30772.377311328219</v>
      </c>
      <c r="D83" s="115">
        <f>D82-C82</f>
        <v>30772.377311328219</v>
      </c>
      <c r="E83" s="466"/>
      <c r="G83" s="462"/>
      <c r="J83" s="463"/>
      <c r="L83" s="462"/>
      <c r="O83" s="462"/>
      <c r="Q83" s="462"/>
      <c r="T83" s="463"/>
      <c r="V83" s="462"/>
      <c r="AA83" s="462"/>
      <c r="AF83" s="462"/>
      <c r="AP83" s="462"/>
      <c r="AU83" s="462"/>
      <c r="AZ83" s="462"/>
    </row>
  </sheetData>
  <mergeCells count="44">
    <mergeCell ref="AA2:AD2"/>
    <mergeCell ref="B2:E2"/>
    <mergeCell ref="G2:J2"/>
    <mergeCell ref="L2:O2"/>
    <mergeCell ref="Q2:T2"/>
    <mergeCell ref="V2:Y2"/>
    <mergeCell ref="AF2:AI2"/>
    <mergeCell ref="AK2:AN2"/>
    <mergeCell ref="AP2:AS2"/>
    <mergeCell ref="AU2:AX2"/>
    <mergeCell ref="AZ2:BC2"/>
    <mergeCell ref="AA24:AD24"/>
    <mergeCell ref="AF24:AI24"/>
    <mergeCell ref="AK24:AN24"/>
    <mergeCell ref="AP24:AS24"/>
    <mergeCell ref="B35:E35"/>
    <mergeCell ref="G35:J35"/>
    <mergeCell ref="L35:O35"/>
    <mergeCell ref="Q35:T35"/>
    <mergeCell ref="V35:Y35"/>
    <mergeCell ref="AA35:AD35"/>
    <mergeCell ref="B24:E24"/>
    <mergeCell ref="G24:J24"/>
    <mergeCell ref="L24:O24"/>
    <mergeCell ref="Q24:T24"/>
    <mergeCell ref="V24:Y24"/>
    <mergeCell ref="AF35:AI35"/>
    <mergeCell ref="B69:E69"/>
    <mergeCell ref="AK46:AN46"/>
    <mergeCell ref="AP46:AS46"/>
    <mergeCell ref="B46:E46"/>
    <mergeCell ref="G46:J46"/>
    <mergeCell ref="L46:O46"/>
    <mergeCell ref="Q46:T46"/>
    <mergeCell ref="V46:Y46"/>
    <mergeCell ref="AU46:AX46"/>
    <mergeCell ref="AZ46:BC46"/>
    <mergeCell ref="B60:E60"/>
    <mergeCell ref="G60:J60"/>
    <mergeCell ref="L60:O60"/>
    <mergeCell ref="Q60:T60"/>
    <mergeCell ref="V60:Y60"/>
    <mergeCell ref="AA46:AD46"/>
    <mergeCell ref="AF46:AI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1"/>
  <sheetViews>
    <sheetView topLeftCell="C6" zoomScale="170" zoomScaleNormal="170" workbookViewId="0">
      <selection activeCell="K20" sqref="K20"/>
    </sheetView>
  </sheetViews>
  <sheetFormatPr defaultRowHeight="15" x14ac:dyDescent="0.25"/>
  <cols>
    <col min="3" max="3" width="10.28515625" bestFit="1" customWidth="1"/>
    <col min="4" max="4" width="12.42578125" style="382" bestFit="1" customWidth="1"/>
    <col min="5" max="5" width="12.140625" style="382" bestFit="1" customWidth="1"/>
    <col min="6" max="6" width="12.140625" bestFit="1" customWidth="1"/>
    <col min="7" max="7" width="12.42578125" style="382" bestFit="1" customWidth="1"/>
    <col min="8" max="8" width="12.140625" style="382" bestFit="1" customWidth="1"/>
    <col min="9" max="9" width="12.28515625" customWidth="1"/>
    <col min="10" max="10" width="12.28515625" style="382" bestFit="1" customWidth="1"/>
    <col min="11" max="11" width="12.140625" style="382" bestFit="1" customWidth="1"/>
  </cols>
  <sheetData>
    <row r="6" spans="2:11" x14ac:dyDescent="0.25">
      <c r="C6" s="624" t="s">
        <v>3</v>
      </c>
      <c r="D6" s="625"/>
      <c r="E6" s="626"/>
      <c r="F6" s="624" t="s">
        <v>4</v>
      </c>
      <c r="G6" s="625"/>
      <c r="H6" s="626"/>
      <c r="I6" s="624" t="s">
        <v>5</v>
      </c>
      <c r="J6" s="625"/>
      <c r="K6" s="626"/>
    </row>
    <row r="7" spans="2:11" x14ac:dyDescent="0.25">
      <c r="C7" s="10" t="s">
        <v>6</v>
      </c>
      <c r="D7" s="383" t="s">
        <v>7</v>
      </c>
      <c r="E7" s="383" t="s">
        <v>8</v>
      </c>
      <c r="F7" s="10" t="s">
        <v>6</v>
      </c>
      <c r="G7" s="383" t="s">
        <v>7</v>
      </c>
      <c r="H7" s="383" t="s">
        <v>8</v>
      </c>
      <c r="I7" s="10" t="s">
        <v>6</v>
      </c>
      <c r="J7" s="383" t="s">
        <v>7</v>
      </c>
      <c r="K7" s="383" t="s">
        <v>8</v>
      </c>
    </row>
    <row r="8" spans="2:11" x14ac:dyDescent="0.25">
      <c r="B8" s="3"/>
      <c r="C8" s="11">
        <v>500</v>
      </c>
      <c r="D8" s="384">
        <f>E8/C8</f>
        <v>8.3000000000000007</v>
      </c>
      <c r="E8" s="384">
        <f>F19</f>
        <v>4150</v>
      </c>
      <c r="F8" s="11"/>
      <c r="G8" s="384"/>
      <c r="H8" s="384"/>
      <c r="I8" s="11">
        <f>C8</f>
        <v>500</v>
      </c>
      <c r="J8" s="384">
        <f>D8</f>
        <v>8.3000000000000007</v>
      </c>
      <c r="K8" s="384">
        <f>E8</f>
        <v>4150</v>
      </c>
    </row>
    <row r="9" spans="2:11" x14ac:dyDescent="0.25">
      <c r="B9" s="3"/>
      <c r="C9" s="9"/>
      <c r="D9" s="384"/>
      <c r="E9" s="384"/>
      <c r="F9" s="11">
        <v>400</v>
      </c>
      <c r="G9" s="384">
        <f>J8</f>
        <v>8.3000000000000007</v>
      </c>
      <c r="H9" s="384">
        <f>F9*G9</f>
        <v>3320.0000000000005</v>
      </c>
      <c r="I9" s="11">
        <f>I8-F9</f>
        <v>100</v>
      </c>
      <c r="J9" s="384">
        <f>J8</f>
        <v>8.3000000000000007</v>
      </c>
      <c r="K9" s="384">
        <f>I9*J9</f>
        <v>830.00000000000011</v>
      </c>
    </row>
    <row r="10" spans="2:11" x14ac:dyDescent="0.25">
      <c r="B10" s="3"/>
      <c r="C10" s="11">
        <v>500</v>
      </c>
      <c r="D10" s="384">
        <f>E10/C10</f>
        <v>10.79</v>
      </c>
      <c r="E10" s="384">
        <f>K20</f>
        <v>5395</v>
      </c>
      <c r="F10" s="11"/>
      <c r="G10" s="384"/>
      <c r="H10" s="384"/>
      <c r="I10" s="11">
        <f>I9+C10</f>
        <v>600</v>
      </c>
      <c r="J10" s="416">
        <f>K10/I10</f>
        <v>10.375</v>
      </c>
      <c r="K10" s="384">
        <f>K9+E10</f>
        <v>6225</v>
      </c>
    </row>
    <row r="11" spans="2:11" x14ac:dyDescent="0.25">
      <c r="B11" s="3"/>
      <c r="C11" s="11"/>
      <c r="D11" s="384"/>
      <c r="E11" s="384"/>
      <c r="F11" s="11">
        <v>300</v>
      </c>
      <c r="G11" s="384">
        <f>J10</f>
        <v>10.375</v>
      </c>
      <c r="H11" s="384">
        <f>F11*G11</f>
        <v>3112.5</v>
      </c>
      <c r="I11" s="11">
        <f>I10-F11</f>
        <v>300</v>
      </c>
      <c r="J11" s="384">
        <f>J10</f>
        <v>10.375</v>
      </c>
      <c r="K11" s="384">
        <f>I11*J11</f>
        <v>3112.5</v>
      </c>
    </row>
    <row r="12" spans="2:11" x14ac:dyDescent="0.25">
      <c r="B12" s="3"/>
      <c r="C12" s="11"/>
      <c r="D12" s="384"/>
      <c r="E12" s="384"/>
      <c r="F12" s="11">
        <v>250</v>
      </c>
      <c r="G12" s="384">
        <f>G11</f>
        <v>10.375</v>
      </c>
      <c r="H12" s="384">
        <f>F12*G12</f>
        <v>2593.75</v>
      </c>
      <c r="I12" s="405">
        <f>I11-F12</f>
        <v>50</v>
      </c>
      <c r="J12" s="406">
        <f>J11</f>
        <v>10.375</v>
      </c>
      <c r="K12" s="406">
        <f>I12*J12</f>
        <v>518.75</v>
      </c>
    </row>
    <row r="15" spans="2:11" x14ac:dyDescent="0.25">
      <c r="C15" s="12" t="s">
        <v>9</v>
      </c>
      <c r="D15" s="391"/>
      <c r="E15" s="391"/>
      <c r="F15" s="14"/>
      <c r="H15" s="396" t="s">
        <v>15</v>
      </c>
      <c r="I15" s="13"/>
      <c r="J15" s="391"/>
      <c r="K15" s="394"/>
    </row>
    <row r="16" spans="2:11" x14ac:dyDescent="0.25">
      <c r="C16" s="15"/>
      <c r="D16" s="392"/>
      <c r="E16" s="392"/>
      <c r="F16" s="16"/>
      <c r="H16" s="397"/>
      <c r="I16" s="5"/>
      <c r="J16" s="392"/>
      <c r="K16" s="30"/>
    </row>
    <row r="17" spans="3:11" x14ac:dyDescent="0.25">
      <c r="C17" s="627" t="s">
        <v>10</v>
      </c>
      <c r="D17" s="628"/>
      <c r="E17" s="392"/>
      <c r="F17" s="30">
        <f>5000</f>
        <v>5000</v>
      </c>
      <c r="H17" s="627" t="s">
        <v>10</v>
      </c>
      <c r="I17" s="628"/>
      <c r="J17" s="392"/>
      <c r="K17" s="30">
        <f>12*500</f>
        <v>6000</v>
      </c>
    </row>
    <row r="18" spans="3:11" x14ac:dyDescent="0.25">
      <c r="C18" s="15" t="s">
        <v>11</v>
      </c>
      <c r="D18" s="392"/>
      <c r="E18" s="392"/>
      <c r="F18" s="395">
        <f>F17*0.17</f>
        <v>850.00000000000011</v>
      </c>
      <c r="H18" s="397" t="s">
        <v>434</v>
      </c>
      <c r="I18" s="5"/>
      <c r="J18" s="392"/>
      <c r="K18" s="30">
        <v>500</v>
      </c>
    </row>
    <row r="19" spans="3:11" x14ac:dyDescent="0.25">
      <c r="C19" s="629" t="s">
        <v>12</v>
      </c>
      <c r="D19" s="593"/>
      <c r="E19" s="392"/>
      <c r="F19" s="30">
        <f>F17-F18</f>
        <v>4150</v>
      </c>
      <c r="H19" s="397" t="s">
        <v>16</v>
      </c>
      <c r="I19" s="5"/>
      <c r="J19" s="392"/>
      <c r="K19" s="395">
        <f>(K17+K18)*0.17</f>
        <v>1105</v>
      </c>
    </row>
    <row r="20" spans="3:11" x14ac:dyDescent="0.25">
      <c r="C20" s="17"/>
      <c r="D20" s="393"/>
      <c r="E20" s="393"/>
      <c r="F20" s="18"/>
      <c r="H20" s="397" t="s">
        <v>12</v>
      </c>
      <c r="I20" s="5"/>
      <c r="J20" s="392"/>
      <c r="K20" s="30">
        <f>K17+K18-K19</f>
        <v>5395</v>
      </c>
    </row>
    <row r="21" spans="3:11" x14ac:dyDescent="0.25">
      <c r="F21" s="2"/>
      <c r="H21" s="398"/>
      <c r="I21" s="4"/>
      <c r="J21" s="393"/>
      <c r="K21" s="395"/>
    </row>
  </sheetData>
  <mergeCells count="6">
    <mergeCell ref="C6:E6"/>
    <mergeCell ref="F6:H6"/>
    <mergeCell ref="I6:K6"/>
    <mergeCell ref="C17:D17"/>
    <mergeCell ref="C19:D19"/>
    <mergeCell ref="H17:I1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01"/>
  <sheetViews>
    <sheetView topLeftCell="A50" zoomScale="70" zoomScaleNormal="70" zoomScaleSheetLayoutView="40" workbookViewId="0">
      <selection activeCell="M68" sqref="M68"/>
    </sheetView>
  </sheetViews>
  <sheetFormatPr defaultColWidth="9.140625" defaultRowHeight="15" x14ac:dyDescent="0.25"/>
  <cols>
    <col min="1" max="1" width="9.140625" style="89"/>
    <col min="2" max="2" width="11.42578125" style="89" bestFit="1" customWidth="1"/>
    <col min="3" max="3" width="11.140625" style="89" bestFit="1" customWidth="1"/>
    <col min="4" max="4" width="9.140625" style="89"/>
    <col min="5" max="5" width="10.140625" style="89" bestFit="1" customWidth="1"/>
    <col min="6" max="6" width="18.7109375" style="89" customWidth="1"/>
    <col min="7" max="7" width="12" style="89" bestFit="1" customWidth="1"/>
    <col min="8" max="8" width="9.140625" style="89"/>
    <col min="9" max="9" width="10.28515625" style="89" customWidth="1"/>
    <col min="10" max="11" width="12" style="89" bestFit="1" customWidth="1"/>
    <col min="12" max="12" width="10.7109375" style="89" bestFit="1" customWidth="1"/>
    <col min="13" max="13" width="10.28515625" style="89" bestFit="1" customWidth="1"/>
    <col min="14" max="15" width="12.85546875" style="89" bestFit="1" customWidth="1"/>
    <col min="16" max="16" width="5" style="89" bestFit="1" customWidth="1"/>
    <col min="17" max="17" width="10.7109375" style="89" bestFit="1" customWidth="1"/>
    <col min="18" max="18" width="14.140625" style="89" customWidth="1"/>
    <col min="19" max="19" width="10.7109375" style="89" bestFit="1" customWidth="1"/>
    <col min="20" max="20" width="5" style="89" bestFit="1" customWidth="1"/>
    <col min="21" max="21" width="5.85546875" style="89" bestFit="1" customWidth="1"/>
    <col min="22" max="22" width="10.7109375" style="89" bestFit="1" customWidth="1"/>
    <col min="23" max="23" width="10" style="89" bestFit="1" customWidth="1"/>
    <col min="24" max="24" width="5" style="89" bestFit="1" customWidth="1"/>
    <col min="25" max="25" width="9.140625" style="89"/>
    <col min="26" max="26" width="14.7109375" style="89" customWidth="1"/>
    <col min="27" max="27" width="15" style="89" customWidth="1"/>
    <col min="28" max="16384" width="9.140625" style="89"/>
  </cols>
  <sheetData>
    <row r="2" spans="1:32" x14ac:dyDescent="0.25">
      <c r="B2" s="652" t="s">
        <v>20</v>
      </c>
      <c r="C2" s="652"/>
    </row>
    <row r="3" spans="1:32" ht="15" customHeight="1" x14ac:dyDescent="0.25">
      <c r="R3" s="121"/>
      <c r="S3" s="121"/>
      <c r="AD3" s="647" t="s">
        <v>144</v>
      </c>
      <c r="AE3" s="588"/>
    </row>
    <row r="4" spans="1:32" ht="15" customHeight="1" x14ac:dyDescent="0.25">
      <c r="B4" s="643" t="s">
        <v>21</v>
      </c>
      <c r="C4" s="643"/>
      <c r="F4" s="643" t="s">
        <v>145</v>
      </c>
      <c r="G4" s="643"/>
      <c r="J4" s="647" t="s">
        <v>40</v>
      </c>
      <c r="K4" s="647"/>
      <c r="N4" s="643" t="s">
        <v>146</v>
      </c>
      <c r="O4" s="643"/>
      <c r="R4" s="647" t="s">
        <v>147</v>
      </c>
      <c r="S4" s="647"/>
      <c r="V4" s="643" t="s">
        <v>148</v>
      </c>
      <c r="W4" s="643"/>
      <c r="Z4" s="643" t="s">
        <v>149</v>
      </c>
      <c r="AA4" s="643"/>
      <c r="AD4" s="588"/>
      <c r="AE4" s="588"/>
    </row>
    <row r="5" spans="1:32" x14ac:dyDescent="0.25">
      <c r="A5" s="25" t="s">
        <v>122</v>
      </c>
      <c r="B5" s="33">
        <v>351425</v>
      </c>
      <c r="C5" s="32">
        <v>350</v>
      </c>
      <c r="D5" s="89" t="s">
        <v>28</v>
      </c>
      <c r="E5" s="19" t="s">
        <v>122</v>
      </c>
      <c r="F5" s="122">
        <v>80000</v>
      </c>
      <c r="G5" s="53"/>
      <c r="J5" s="649"/>
      <c r="K5" s="649"/>
      <c r="M5" s="19" t="s">
        <v>122</v>
      </c>
      <c r="N5" s="52">
        <v>100000</v>
      </c>
      <c r="O5" s="53">
        <f>N22</f>
        <v>18333.34</v>
      </c>
      <c r="P5" s="89" t="s">
        <v>46</v>
      </c>
      <c r="R5" s="647"/>
      <c r="S5" s="647"/>
      <c r="U5" s="19" t="s">
        <v>41</v>
      </c>
      <c r="V5" s="44">
        <v>1500</v>
      </c>
      <c r="W5" s="123">
        <f>F77</f>
        <v>200</v>
      </c>
      <c r="X5" s="89" t="s">
        <v>150</v>
      </c>
      <c r="Y5" s="19" t="s">
        <v>151</v>
      </c>
      <c r="Z5" s="124">
        <v>7500</v>
      </c>
      <c r="AA5" s="46"/>
      <c r="AD5" s="588"/>
      <c r="AE5" s="588"/>
    </row>
    <row r="6" spans="1:32" x14ac:dyDescent="0.25">
      <c r="A6" s="19" t="s">
        <v>152</v>
      </c>
      <c r="B6" s="35">
        <v>75000</v>
      </c>
      <c r="C6" s="32">
        <f>N37</f>
        <v>8400</v>
      </c>
      <c r="D6" s="89" t="s">
        <v>153</v>
      </c>
      <c r="F6" s="54"/>
      <c r="G6" s="26"/>
      <c r="I6" s="19" t="s">
        <v>122</v>
      </c>
      <c r="J6" s="40">
        <v>1800</v>
      </c>
      <c r="K6" s="51">
        <f>B73</f>
        <v>1200</v>
      </c>
      <c r="L6" s="89" t="s">
        <v>34</v>
      </c>
      <c r="N6" s="125">
        <f>N5-O5</f>
        <v>81666.66</v>
      </c>
      <c r="O6" s="53">
        <f>N6</f>
        <v>81666.66</v>
      </c>
      <c r="P6" s="89" t="s">
        <v>47</v>
      </c>
      <c r="Q6" s="19" t="s">
        <v>154</v>
      </c>
      <c r="R6" s="44">
        <f>S6</f>
        <v>8710.93</v>
      </c>
      <c r="S6" s="123">
        <v>8710.93</v>
      </c>
      <c r="T6" s="89" t="s">
        <v>29</v>
      </c>
      <c r="U6" s="19" t="s">
        <v>43</v>
      </c>
      <c r="V6" s="67">
        <v>300</v>
      </c>
      <c r="W6" s="47">
        <f>F79</f>
        <v>400</v>
      </c>
      <c r="X6" s="89" t="s">
        <v>155</v>
      </c>
      <c r="Y6" s="19"/>
      <c r="Z6" s="57"/>
      <c r="AA6" s="46"/>
      <c r="AD6" s="588"/>
      <c r="AE6" s="588"/>
    </row>
    <row r="7" spans="1:32" x14ac:dyDescent="0.25">
      <c r="A7" s="19" t="s">
        <v>156</v>
      </c>
      <c r="B7" s="35">
        <v>5000</v>
      </c>
      <c r="C7" s="32">
        <v>7500</v>
      </c>
      <c r="D7" s="89" t="s">
        <v>152</v>
      </c>
      <c r="F7" s="23"/>
      <c r="G7" s="26"/>
      <c r="J7" s="126">
        <f>J6-K6</f>
        <v>600</v>
      </c>
      <c r="N7" s="127" t="s">
        <v>14</v>
      </c>
      <c r="O7" s="26"/>
      <c r="Q7" s="19" t="s">
        <v>157</v>
      </c>
      <c r="R7" s="128">
        <f>F75</f>
        <v>0</v>
      </c>
      <c r="S7" s="83">
        <v>6944.65</v>
      </c>
      <c r="T7" s="89" t="s">
        <v>33</v>
      </c>
      <c r="U7" s="19"/>
      <c r="V7" s="56">
        <f>SUM(V5:V6)</f>
        <v>1800</v>
      </c>
      <c r="W7" s="64">
        <f>SUM(W5:W6)</f>
        <v>600</v>
      </c>
      <c r="Y7" s="19"/>
      <c r="Z7" s="57"/>
      <c r="AA7" s="46"/>
      <c r="AD7" s="648"/>
      <c r="AE7" s="648"/>
    </row>
    <row r="8" spans="1:32" x14ac:dyDescent="0.25">
      <c r="A8" s="19" t="s">
        <v>158</v>
      </c>
      <c r="B8" s="35">
        <v>1600</v>
      </c>
      <c r="C8" s="34">
        <v>200</v>
      </c>
      <c r="D8" s="89" t="s">
        <v>32</v>
      </c>
      <c r="J8" s="16"/>
      <c r="Q8" s="19"/>
      <c r="R8" s="56">
        <f>SUM(R6:R7)</f>
        <v>8710.93</v>
      </c>
      <c r="S8" s="64">
        <f>SUM(S6:S7)</f>
        <v>15655.58</v>
      </c>
      <c r="U8" s="19"/>
      <c r="V8" s="129">
        <f>V7-W7</f>
        <v>1200</v>
      </c>
      <c r="W8" s="46"/>
      <c r="Y8" s="19"/>
      <c r="Z8" s="57"/>
      <c r="AA8" s="46"/>
      <c r="AD8" s="14"/>
      <c r="AE8" s="130">
        <v>30</v>
      </c>
      <c r="AF8" s="89" t="s">
        <v>70</v>
      </c>
    </row>
    <row r="9" spans="1:32" x14ac:dyDescent="0.25">
      <c r="A9" s="19"/>
      <c r="B9" s="30"/>
      <c r="C9" s="32">
        <f>V5+V12+V19</f>
        <v>12100</v>
      </c>
      <c r="D9" s="89" t="s">
        <v>41</v>
      </c>
      <c r="F9" s="643" t="s">
        <v>30</v>
      </c>
      <c r="G9" s="643"/>
      <c r="Q9" s="19"/>
      <c r="S9" s="131">
        <f>S8-R8</f>
        <v>6944.65</v>
      </c>
      <c r="U9" s="19"/>
      <c r="V9" s="46"/>
      <c r="W9" s="46"/>
      <c r="Y9" s="19"/>
      <c r="AD9" s="16"/>
    </row>
    <row r="10" spans="1:32" ht="15" customHeight="1" x14ac:dyDescent="0.25">
      <c r="B10" s="30"/>
      <c r="C10" s="32">
        <v>7500</v>
      </c>
      <c r="D10" s="89" t="s">
        <v>151</v>
      </c>
      <c r="E10" s="19" t="s">
        <v>122</v>
      </c>
      <c r="F10" s="132">
        <v>518</v>
      </c>
      <c r="G10" s="133">
        <f>N56</f>
        <v>4676.09</v>
      </c>
      <c r="H10" s="89" t="s">
        <v>159</v>
      </c>
      <c r="Q10" s="19"/>
      <c r="U10" s="19"/>
      <c r="V10" s="46"/>
      <c r="W10" s="46"/>
      <c r="Y10" s="19"/>
      <c r="Z10" s="649" t="s">
        <v>160</v>
      </c>
      <c r="AA10" s="649"/>
      <c r="AD10" s="16"/>
    </row>
    <row r="11" spans="1:32" x14ac:dyDescent="0.25">
      <c r="B11" s="30"/>
      <c r="C11" s="32">
        <v>8500</v>
      </c>
      <c r="D11" s="89" t="s">
        <v>44</v>
      </c>
      <c r="E11" s="19" t="s">
        <v>28</v>
      </c>
      <c r="F11" s="134">
        <v>6496.14</v>
      </c>
      <c r="G11" s="133">
        <f>N57</f>
        <v>2293.6799999999998</v>
      </c>
      <c r="H11" s="89" t="s">
        <v>161</v>
      </c>
      <c r="J11" s="650" t="s">
        <v>48</v>
      </c>
      <c r="K11" s="650"/>
      <c r="N11" s="643" t="s">
        <v>162</v>
      </c>
      <c r="O11" s="643"/>
      <c r="Q11" s="19"/>
      <c r="R11" s="643" t="s">
        <v>163</v>
      </c>
      <c r="S11" s="643"/>
      <c r="U11" s="19"/>
      <c r="V11" s="651" t="s">
        <v>164</v>
      </c>
      <c r="W11" s="651"/>
      <c r="Y11" s="19"/>
      <c r="Z11" s="649"/>
      <c r="AA11" s="649"/>
      <c r="AD11" s="16"/>
    </row>
    <row r="12" spans="1:32" x14ac:dyDescent="0.25">
      <c r="B12" s="30"/>
      <c r="C12" s="32">
        <f>J69</f>
        <v>23000</v>
      </c>
      <c r="D12" s="89" t="s">
        <v>49</v>
      </c>
      <c r="E12" s="19" t="s">
        <v>32</v>
      </c>
      <c r="F12" s="135">
        <v>2708.06</v>
      </c>
      <c r="G12" s="79"/>
      <c r="I12" s="19" t="s">
        <v>122</v>
      </c>
      <c r="J12" s="33">
        <v>32500</v>
      </c>
      <c r="K12" s="136">
        <f>C7</f>
        <v>7500</v>
      </c>
      <c r="L12" s="89" t="s">
        <v>152</v>
      </c>
      <c r="M12" s="19" t="s">
        <v>122</v>
      </c>
      <c r="N12" s="122">
        <v>100000</v>
      </c>
      <c r="O12" s="53"/>
      <c r="Q12" s="19" t="s">
        <v>165</v>
      </c>
      <c r="R12" s="56">
        <v>1350</v>
      </c>
      <c r="S12" s="64">
        <v>1500</v>
      </c>
      <c r="T12" s="89" t="s">
        <v>31</v>
      </c>
      <c r="U12" s="19" t="s">
        <v>41</v>
      </c>
      <c r="V12" s="44">
        <v>2600</v>
      </c>
      <c r="W12" s="123">
        <f>F76</f>
        <v>600</v>
      </c>
      <c r="X12" s="89" t="s">
        <v>166</v>
      </c>
      <c r="Y12" s="19" t="s">
        <v>44</v>
      </c>
      <c r="Z12" s="137">
        <v>8500</v>
      </c>
    </row>
    <row r="13" spans="1:32" x14ac:dyDescent="0.25">
      <c r="B13" s="16"/>
      <c r="C13" s="84">
        <f>R71</f>
        <v>10000</v>
      </c>
      <c r="D13" s="89" t="s">
        <v>50</v>
      </c>
      <c r="E13" s="19"/>
      <c r="F13" s="125">
        <f>SUM(F10:F12)</f>
        <v>9722.2000000000007</v>
      </c>
      <c r="G13" s="80">
        <f>SUM(G10:G11)</f>
        <v>6969.77</v>
      </c>
      <c r="I13" s="19" t="s">
        <v>29</v>
      </c>
      <c r="J13" s="38">
        <v>75000</v>
      </c>
      <c r="K13" s="37">
        <f>J12</f>
        <v>32500</v>
      </c>
      <c r="L13" s="89" t="s">
        <v>167</v>
      </c>
      <c r="N13" s="54"/>
      <c r="Q13" s="19"/>
      <c r="R13" s="57"/>
      <c r="S13" s="138">
        <f>S12-R12</f>
        <v>150</v>
      </c>
      <c r="U13" s="19"/>
      <c r="V13" s="57"/>
      <c r="W13" s="139">
        <f>F78</f>
        <v>400</v>
      </c>
      <c r="X13" s="89" t="s">
        <v>150</v>
      </c>
      <c r="Y13" s="19"/>
      <c r="Z13" s="16"/>
      <c r="AD13" s="647" t="s">
        <v>168</v>
      </c>
      <c r="AE13" s="588"/>
    </row>
    <row r="14" spans="1:32" x14ac:dyDescent="0.25">
      <c r="B14" s="16"/>
      <c r="C14" s="140">
        <v>53121.16</v>
      </c>
      <c r="D14" s="89" t="s">
        <v>85</v>
      </c>
      <c r="E14" s="19"/>
      <c r="F14" s="134"/>
      <c r="G14" s="141"/>
      <c r="I14" s="19"/>
      <c r="J14" s="38"/>
      <c r="K14" s="37"/>
      <c r="N14" s="54"/>
      <c r="Q14" s="19"/>
      <c r="R14" s="57"/>
      <c r="S14" s="138"/>
      <c r="U14" s="19"/>
      <c r="V14" s="57"/>
      <c r="W14" s="139"/>
      <c r="Y14" s="19"/>
      <c r="Z14" s="16"/>
      <c r="AD14" s="647"/>
      <c r="AE14" s="588"/>
    </row>
    <row r="15" spans="1:32" x14ac:dyDescent="0.25">
      <c r="B15" s="142"/>
      <c r="C15" s="143">
        <f>F65</f>
        <v>300</v>
      </c>
      <c r="D15" s="89" t="s">
        <v>169</v>
      </c>
      <c r="E15" s="19"/>
      <c r="F15" s="144">
        <f>F13-G13</f>
        <v>2752.4300000000003</v>
      </c>
      <c r="I15" s="19" t="s">
        <v>33</v>
      </c>
      <c r="J15" s="145">
        <v>43750</v>
      </c>
      <c r="K15" s="4"/>
      <c r="N15" s="23"/>
      <c r="O15" s="26"/>
      <c r="Q15" s="19"/>
      <c r="R15" s="57"/>
      <c r="S15" s="46"/>
      <c r="U15" s="19"/>
      <c r="V15" s="67"/>
      <c r="W15" s="47">
        <v>1600</v>
      </c>
      <c r="X15" s="89" t="s">
        <v>158</v>
      </c>
      <c r="Y15" s="19"/>
      <c r="Z15" s="16"/>
      <c r="AD15" s="588"/>
      <c r="AE15" s="588"/>
    </row>
    <row r="16" spans="1:32" ht="15" customHeight="1" x14ac:dyDescent="0.25">
      <c r="B16" s="146">
        <f>SUM(B5:B9)</f>
        <v>433025</v>
      </c>
      <c r="C16" s="147">
        <f>SUM(C5:C15)</f>
        <v>130971.16</v>
      </c>
      <c r="D16" s="5"/>
      <c r="I16" s="19"/>
      <c r="J16" s="48">
        <f>SUM(J12:J15)</f>
        <v>151250</v>
      </c>
      <c r="K16" s="49">
        <f>SUM(K12:K13)</f>
        <v>40000</v>
      </c>
      <c r="Q16" s="19"/>
      <c r="U16" s="19"/>
      <c r="V16" s="56">
        <f>V12</f>
        <v>2600</v>
      </c>
      <c r="W16" s="64">
        <f>SUM(W12:W15)</f>
        <v>2600</v>
      </c>
      <c r="Y16" s="19"/>
      <c r="Z16" s="16"/>
      <c r="AD16" s="588"/>
      <c r="AE16" s="588"/>
    </row>
    <row r="17" spans="1:32" x14ac:dyDescent="0.25">
      <c r="B17" s="126">
        <f>B16-C16</f>
        <v>302053.83999999997</v>
      </c>
      <c r="C17" s="15"/>
      <c r="I17" s="19"/>
      <c r="J17" s="148">
        <f>J16-K16</f>
        <v>111250</v>
      </c>
      <c r="Q17" s="19"/>
      <c r="U17" s="19"/>
      <c r="V17" s="124">
        <f>V16-W16</f>
        <v>0</v>
      </c>
      <c r="W17" s="46"/>
      <c r="Y17" s="19"/>
      <c r="AD17" s="588"/>
      <c r="AE17" s="588"/>
    </row>
    <row r="18" spans="1:32" x14ac:dyDescent="0.25">
      <c r="F18" s="647" t="s">
        <v>170</v>
      </c>
      <c r="G18" s="647"/>
      <c r="J18" s="647" t="s">
        <v>171</v>
      </c>
      <c r="K18" s="647"/>
      <c r="N18" s="647" t="s">
        <v>172</v>
      </c>
      <c r="O18" s="647"/>
      <c r="Q18" s="19"/>
      <c r="R18" s="650" t="s">
        <v>173</v>
      </c>
      <c r="S18" s="643"/>
      <c r="U18" s="19"/>
      <c r="V18" s="651" t="s">
        <v>174</v>
      </c>
      <c r="W18" s="651"/>
      <c r="Y18" s="19"/>
      <c r="Z18" s="643" t="s">
        <v>175</v>
      </c>
      <c r="AA18" s="643"/>
      <c r="AD18" s="648"/>
      <c r="AE18" s="648"/>
    </row>
    <row r="19" spans="1:32" x14ac:dyDescent="0.25">
      <c r="B19" s="643" t="s">
        <v>176</v>
      </c>
      <c r="C19" s="643"/>
      <c r="D19" s="5"/>
      <c r="F19" s="649"/>
      <c r="G19" s="649"/>
      <c r="J19" s="649"/>
      <c r="K19" s="649"/>
      <c r="N19" s="647"/>
      <c r="O19" s="649"/>
      <c r="Q19" s="19" t="s">
        <v>165</v>
      </c>
      <c r="R19" s="56">
        <v>4680</v>
      </c>
      <c r="S19" s="64">
        <v>6000</v>
      </c>
      <c r="T19" s="89" t="s">
        <v>31</v>
      </c>
      <c r="U19" s="19" t="s">
        <v>41</v>
      </c>
      <c r="V19" s="44">
        <v>8000</v>
      </c>
      <c r="W19" s="123">
        <v>5000</v>
      </c>
      <c r="X19" s="89" t="s">
        <v>156</v>
      </c>
      <c r="Y19" s="19" t="s">
        <v>47</v>
      </c>
      <c r="Z19" s="149">
        <f>O6</f>
        <v>81666.66</v>
      </c>
      <c r="AD19" s="14"/>
      <c r="AE19" s="130">
        <v>110</v>
      </c>
      <c r="AF19" s="89" t="s">
        <v>177</v>
      </c>
    </row>
    <row r="20" spans="1:32" x14ac:dyDescent="0.25">
      <c r="A20" s="19" t="s">
        <v>28</v>
      </c>
      <c r="B20" s="31">
        <v>1462</v>
      </c>
      <c r="F20" s="56"/>
      <c r="G20" s="64">
        <v>1466.67</v>
      </c>
      <c r="H20" s="90" t="s">
        <v>122</v>
      </c>
      <c r="J20" s="44"/>
      <c r="K20" s="123">
        <v>6111.11</v>
      </c>
      <c r="L20" s="90" t="s">
        <v>122</v>
      </c>
      <c r="N20" s="44"/>
      <c r="O20" s="123">
        <v>9166.67</v>
      </c>
      <c r="P20" s="90" t="s">
        <v>122</v>
      </c>
      <c r="R20" s="57"/>
      <c r="S20" s="138">
        <f>S19-R19</f>
        <v>1320</v>
      </c>
      <c r="U20" s="19" t="s">
        <v>178</v>
      </c>
      <c r="V20" s="57">
        <v>2000</v>
      </c>
      <c r="W20" s="139">
        <f>F80</f>
        <v>400</v>
      </c>
      <c r="X20" s="89" t="s">
        <v>179</v>
      </c>
      <c r="Y20" s="19"/>
      <c r="Z20" s="16"/>
      <c r="AD20" s="16"/>
    </row>
    <row r="21" spans="1:32" x14ac:dyDescent="0.25">
      <c r="A21" s="19" t="s">
        <v>32</v>
      </c>
      <c r="B21" s="55">
        <v>663</v>
      </c>
      <c r="C21" s="4"/>
      <c r="F21" s="56"/>
      <c r="G21" s="63">
        <v>1600</v>
      </c>
      <c r="H21" s="89" t="s">
        <v>73</v>
      </c>
      <c r="J21" s="67"/>
      <c r="K21" s="150">
        <v>6666.67</v>
      </c>
      <c r="L21" s="89" t="s">
        <v>72</v>
      </c>
      <c r="M21" s="19"/>
      <c r="N21" s="47"/>
      <c r="O21" s="150">
        <f>N68</f>
        <v>9166.67</v>
      </c>
      <c r="P21" s="89" t="s">
        <v>45</v>
      </c>
      <c r="R21" s="57"/>
      <c r="S21" s="46"/>
      <c r="U21" s="19" t="s">
        <v>180</v>
      </c>
      <c r="V21" s="67">
        <v>200</v>
      </c>
      <c r="W21" s="47"/>
      <c r="Y21" s="19"/>
      <c r="Z21" s="16"/>
      <c r="AD21" s="16"/>
    </row>
    <row r="22" spans="1:32" x14ac:dyDescent="0.25">
      <c r="B22" s="50">
        <f>SUM(B20:B21)</f>
        <v>2125</v>
      </c>
      <c r="C22" s="85">
        <f>B22</f>
        <v>2125</v>
      </c>
      <c r="D22" s="91" t="s">
        <v>181</v>
      </c>
      <c r="F22" s="16"/>
      <c r="G22" s="138">
        <f>SUM(G20:G21)</f>
        <v>3066.67</v>
      </c>
      <c r="J22" s="16"/>
      <c r="K22" s="138">
        <f>SUM(K20:K21)</f>
        <v>12777.779999999999</v>
      </c>
      <c r="M22" s="19" t="s">
        <v>46</v>
      </c>
      <c r="N22" s="56">
        <f>O22</f>
        <v>18333.34</v>
      </c>
      <c r="O22" s="64">
        <f>SUM(O20:O21)</f>
        <v>18333.34</v>
      </c>
      <c r="R22" s="57"/>
      <c r="S22" s="46"/>
      <c r="U22" s="19"/>
      <c r="V22" s="56">
        <f>SUM(V19:V21)</f>
        <v>10200</v>
      </c>
      <c r="W22" s="64">
        <f>SUM(W19:W20)</f>
        <v>5400</v>
      </c>
      <c r="Y22" s="19"/>
      <c r="Z22" s="16"/>
      <c r="AD22" s="16"/>
    </row>
    <row r="23" spans="1:32" x14ac:dyDescent="0.25">
      <c r="B23" s="86"/>
      <c r="C23" s="59"/>
      <c r="D23" s="91"/>
      <c r="F23" s="5"/>
      <c r="J23" s="5"/>
      <c r="N23" s="16"/>
      <c r="O23" s="151" t="s">
        <v>14</v>
      </c>
      <c r="V23" s="124">
        <f>V22-W22</f>
        <v>4800</v>
      </c>
      <c r="Y23" s="19"/>
    </row>
    <row r="24" spans="1:32" x14ac:dyDescent="0.25">
      <c r="B24" s="84"/>
      <c r="C24" s="59"/>
      <c r="D24" s="91"/>
      <c r="F24" s="5"/>
    </row>
    <row r="26" spans="1:32" x14ac:dyDescent="0.25">
      <c r="B26" s="644" t="s">
        <v>22</v>
      </c>
      <c r="C26" s="644"/>
    </row>
    <row r="28" spans="1:32" ht="15" customHeight="1" x14ac:dyDescent="0.25">
      <c r="B28" s="640" t="s">
        <v>38</v>
      </c>
      <c r="C28" s="640"/>
      <c r="F28" s="645" t="s">
        <v>182</v>
      </c>
      <c r="G28" s="645"/>
      <c r="J28" s="645" t="s">
        <v>51</v>
      </c>
      <c r="K28" s="645"/>
      <c r="N28" s="645" t="s">
        <v>183</v>
      </c>
      <c r="O28" s="645"/>
    </row>
    <row r="29" spans="1:32" x14ac:dyDescent="0.25">
      <c r="A29" s="60" t="s">
        <v>181</v>
      </c>
      <c r="B29" s="152">
        <f>C22</f>
        <v>2125</v>
      </c>
      <c r="C29" s="78">
        <v>16490</v>
      </c>
      <c r="D29" s="89" t="s">
        <v>122</v>
      </c>
      <c r="F29" s="646"/>
      <c r="G29" s="646"/>
      <c r="J29" s="646"/>
      <c r="K29" s="646"/>
      <c r="N29" s="645"/>
      <c r="O29" s="645"/>
    </row>
    <row r="30" spans="1:32" x14ac:dyDescent="0.25">
      <c r="A30" s="19" t="s">
        <v>85</v>
      </c>
      <c r="B30" s="57">
        <f>C29</f>
        <v>16490</v>
      </c>
      <c r="C30" s="78">
        <f>B65</f>
        <v>12750</v>
      </c>
      <c r="D30" s="89" t="s">
        <v>184</v>
      </c>
      <c r="E30" s="19" t="s">
        <v>122</v>
      </c>
      <c r="F30" s="40">
        <v>638</v>
      </c>
      <c r="G30" s="51">
        <f>F30</f>
        <v>638</v>
      </c>
      <c r="H30" s="89" t="s">
        <v>54</v>
      </c>
      <c r="I30" s="19" t="s">
        <v>167</v>
      </c>
      <c r="J30" s="48">
        <f>K30</f>
        <v>32500</v>
      </c>
      <c r="K30" s="51">
        <v>32500</v>
      </c>
      <c r="L30" s="89" t="s">
        <v>122</v>
      </c>
      <c r="M30" s="19" t="s">
        <v>28</v>
      </c>
      <c r="N30" s="153">
        <v>791.86</v>
      </c>
      <c r="O30" s="154">
        <f>F73</f>
        <v>791.86</v>
      </c>
      <c r="P30" s="89" t="s">
        <v>185</v>
      </c>
    </row>
    <row r="31" spans="1:32" x14ac:dyDescent="0.25">
      <c r="B31" s="36"/>
      <c r="C31" s="155">
        <f>B66</f>
        <v>7437.5</v>
      </c>
      <c r="D31" s="89" t="s">
        <v>186</v>
      </c>
      <c r="F31" s="126">
        <f>F30-G30</f>
        <v>0</v>
      </c>
      <c r="I31" s="19"/>
      <c r="J31" s="16"/>
      <c r="K31" s="148">
        <f>K30-J30</f>
        <v>0</v>
      </c>
      <c r="M31" s="19" t="s">
        <v>32</v>
      </c>
      <c r="N31" s="67">
        <v>728.94</v>
      </c>
      <c r="O31" s="156">
        <f>F74</f>
        <v>615.35</v>
      </c>
      <c r="P31" s="89" t="s">
        <v>187</v>
      </c>
    </row>
    <row r="32" spans="1:32" x14ac:dyDescent="0.25">
      <c r="A32" s="157"/>
      <c r="B32" s="158">
        <f>SUM(B29:B30)</f>
        <v>18615</v>
      </c>
      <c r="C32" s="64">
        <f>SUM(C29:C31)</f>
        <v>36677.5</v>
      </c>
      <c r="F32" s="16"/>
      <c r="I32" s="19"/>
      <c r="M32" s="19"/>
      <c r="N32" s="56">
        <f>SUM(N30:N31)</f>
        <v>1520.8000000000002</v>
      </c>
      <c r="O32" s="64">
        <f>SUM(O30:O31)</f>
        <v>1407.21</v>
      </c>
    </row>
    <row r="33" spans="1:18" x14ac:dyDescent="0.25">
      <c r="B33" s="16"/>
      <c r="C33" s="159">
        <f>C32-B32</f>
        <v>18062.5</v>
      </c>
      <c r="I33" s="19"/>
      <c r="N33" s="124">
        <f>N32-O32</f>
        <v>113.59000000000015</v>
      </c>
    </row>
    <row r="34" spans="1:18" x14ac:dyDescent="0.25">
      <c r="I34" s="19"/>
    </row>
    <row r="35" spans="1:18" x14ac:dyDescent="0.25">
      <c r="I35" s="19"/>
    </row>
    <row r="36" spans="1:18" x14ac:dyDescent="0.25">
      <c r="B36" s="640" t="s">
        <v>74</v>
      </c>
      <c r="C36" s="640"/>
      <c r="F36" s="640" t="s">
        <v>75</v>
      </c>
      <c r="G36" s="640"/>
      <c r="I36" s="19"/>
      <c r="J36" s="640" t="s">
        <v>94</v>
      </c>
      <c r="K36" s="640"/>
      <c r="N36" s="641" t="s">
        <v>188</v>
      </c>
      <c r="O36" s="640"/>
    </row>
    <row r="37" spans="1:18" x14ac:dyDescent="0.25">
      <c r="A37" s="19" t="s">
        <v>85</v>
      </c>
      <c r="B37" s="56">
        <f>C37</f>
        <v>12786.64</v>
      </c>
      <c r="C37" s="88">
        <v>12786.64</v>
      </c>
      <c r="D37" s="89" t="s">
        <v>122</v>
      </c>
      <c r="E37" s="19" t="s">
        <v>85</v>
      </c>
      <c r="F37" s="160">
        <f>G37</f>
        <v>4603.1899999999996</v>
      </c>
      <c r="G37" s="87">
        <v>4603.1899999999996</v>
      </c>
      <c r="H37" s="90" t="s">
        <v>122</v>
      </c>
      <c r="I37" s="19" t="s">
        <v>85</v>
      </c>
      <c r="J37" s="64">
        <v>19241.330000000002</v>
      </c>
      <c r="K37" s="64">
        <v>19241.330000000002</v>
      </c>
      <c r="L37" s="89" t="s">
        <v>122</v>
      </c>
      <c r="M37" s="19" t="s">
        <v>153</v>
      </c>
      <c r="N37" s="161">
        <f>O37</f>
        <v>8400</v>
      </c>
      <c r="O37" s="65">
        <v>8400</v>
      </c>
      <c r="P37" s="89" t="s">
        <v>28</v>
      </c>
    </row>
    <row r="38" spans="1:18" hidden="1" x14ac:dyDescent="0.25">
      <c r="B38" s="16"/>
      <c r="C38" s="37"/>
      <c r="F38" s="16"/>
      <c r="G38" s="37"/>
      <c r="I38" s="19"/>
      <c r="J38" s="16"/>
      <c r="N38" s="16"/>
      <c r="O38" s="5"/>
      <c r="P38" s="16"/>
    </row>
    <row r="39" spans="1:18" x14ac:dyDescent="0.25">
      <c r="B39" s="16"/>
      <c r="C39" s="138">
        <f>J74</f>
        <v>7459.0149999999994</v>
      </c>
      <c r="D39" s="89" t="s">
        <v>189</v>
      </c>
      <c r="F39" s="16"/>
      <c r="G39" s="138">
        <f>N74</f>
        <v>2685.2453999999998</v>
      </c>
      <c r="H39" s="89" t="s">
        <v>190</v>
      </c>
      <c r="I39" s="19"/>
      <c r="J39" s="16"/>
      <c r="K39" s="46">
        <f>'[2]APURAÇÃO DAS RESERVAS'!M9</f>
        <v>11224.325771999998</v>
      </c>
      <c r="L39" s="89" t="s">
        <v>191</v>
      </c>
      <c r="N39" s="36"/>
      <c r="O39" s="77">
        <v>3900</v>
      </c>
      <c r="P39" s="89" t="s">
        <v>32</v>
      </c>
    </row>
    <row r="40" spans="1:18" x14ac:dyDescent="0.25">
      <c r="I40" s="19"/>
      <c r="N40" s="61">
        <f>N37</f>
        <v>8400</v>
      </c>
      <c r="O40" s="63">
        <f>SUM(O37:O39)</f>
        <v>12300</v>
      </c>
    </row>
    <row r="41" spans="1:18" x14ac:dyDescent="0.25">
      <c r="N41" s="14"/>
      <c r="O41" s="162">
        <f>O40-N40</f>
        <v>3900</v>
      </c>
    </row>
    <row r="42" spans="1:18" x14ac:dyDescent="0.25">
      <c r="B42" s="642" t="s">
        <v>23</v>
      </c>
      <c r="C42" s="642"/>
    </row>
    <row r="44" spans="1:18" x14ac:dyDescent="0.25">
      <c r="A44" s="637" t="s">
        <v>25</v>
      </c>
      <c r="B44" s="637"/>
      <c r="D44" s="635" t="s">
        <v>26</v>
      </c>
      <c r="E44" s="635"/>
      <c r="H44" s="637" t="s">
        <v>88</v>
      </c>
      <c r="I44" s="637"/>
      <c r="L44" s="635" t="s">
        <v>93</v>
      </c>
      <c r="M44" s="635"/>
      <c r="P44" s="635" t="s">
        <v>95</v>
      </c>
      <c r="Q44" s="635"/>
    </row>
    <row r="45" spans="1:18" x14ac:dyDescent="0.25">
      <c r="A45" s="8"/>
      <c r="B45" s="58">
        <v>500000</v>
      </c>
      <c r="C45" s="89" t="s">
        <v>122</v>
      </c>
      <c r="D45" s="636"/>
      <c r="E45" s="636"/>
      <c r="H45" s="14"/>
      <c r="I45" s="123">
        <v>1687.84</v>
      </c>
      <c r="J45" s="89" t="s">
        <v>122</v>
      </c>
      <c r="L45" s="636"/>
      <c r="M45" s="636"/>
      <c r="P45" s="636"/>
      <c r="Q45" s="636"/>
    </row>
    <row r="46" spans="1:18" x14ac:dyDescent="0.25">
      <c r="A46" s="16"/>
      <c r="B46" s="26"/>
      <c r="D46" s="8"/>
      <c r="E46" s="58">
        <v>50000</v>
      </c>
      <c r="F46" s="89" t="s">
        <v>122</v>
      </c>
      <c r="H46" s="36"/>
      <c r="I46" s="47">
        <f>'[2]APURAÇÃO DAS RESERVAS'!F6</f>
        <v>984.58997999999997</v>
      </c>
      <c r="J46" s="89" t="s">
        <v>192</v>
      </c>
      <c r="K46" s="19" t="s">
        <v>192</v>
      </c>
      <c r="L46" s="57">
        <f>I46</f>
        <v>984.58997999999997</v>
      </c>
      <c r="M46" s="46">
        <f>F101</f>
        <v>19691.799600000013</v>
      </c>
      <c r="N46" s="89" t="s">
        <v>92</v>
      </c>
      <c r="O46" s="89" t="s">
        <v>193</v>
      </c>
      <c r="P46" s="13"/>
      <c r="Q46" s="163">
        <v>12827.55</v>
      </c>
      <c r="R46" s="90" t="s">
        <v>122</v>
      </c>
    </row>
    <row r="47" spans="1:18" x14ac:dyDescent="0.25">
      <c r="A47" s="16"/>
      <c r="B47" s="26"/>
      <c r="D47" s="16"/>
      <c r="E47" s="32"/>
      <c r="H47" s="16"/>
      <c r="I47" s="46">
        <f>SUM(I45:I46)</f>
        <v>2672.4299799999999</v>
      </c>
      <c r="K47" s="19" t="s">
        <v>194</v>
      </c>
      <c r="L47" s="57">
        <f>I50</f>
        <v>1870.7209619999999</v>
      </c>
      <c r="M47" s="5"/>
      <c r="P47" s="36"/>
      <c r="Q47" s="150">
        <f>L50</f>
        <v>5612.1628860000146</v>
      </c>
      <c r="R47" s="89" t="s">
        <v>195</v>
      </c>
    </row>
    <row r="48" spans="1:18" x14ac:dyDescent="0.25">
      <c r="D48" s="16"/>
      <c r="E48" s="26"/>
      <c r="K48" s="19" t="s">
        <v>191</v>
      </c>
      <c r="L48" s="67">
        <f>K39</f>
        <v>11224.325771999998</v>
      </c>
      <c r="M48" s="150"/>
      <c r="P48" s="16"/>
      <c r="Q48" s="46">
        <f>SUM(Q46:Q47)</f>
        <v>18439.712886000016</v>
      </c>
    </row>
    <row r="49" spans="1:24" x14ac:dyDescent="0.25">
      <c r="H49" s="637" t="s">
        <v>196</v>
      </c>
      <c r="I49" s="637"/>
      <c r="K49" s="19"/>
      <c r="L49" s="56">
        <f>SUM(L46:L48)</f>
        <v>14079.636713999998</v>
      </c>
      <c r="M49" s="164">
        <f>M46</f>
        <v>19691.799600000013</v>
      </c>
    </row>
    <row r="50" spans="1:24" x14ac:dyDescent="0.25">
      <c r="H50" s="14"/>
      <c r="I50" s="46">
        <f>'[2]APURAÇÃO DAS RESERVAS'!F8</f>
        <v>1870.7209619999999</v>
      </c>
      <c r="J50" s="89" t="s">
        <v>194</v>
      </c>
      <c r="K50" s="19" t="s">
        <v>195</v>
      </c>
      <c r="L50" s="57">
        <f>M50</f>
        <v>5612.1628860000146</v>
      </c>
      <c r="M50" s="165">
        <f>M49-L49</f>
        <v>5612.1628860000146</v>
      </c>
      <c r="O50" s="5"/>
    </row>
    <row r="51" spans="1:24" x14ac:dyDescent="0.25">
      <c r="H51" s="16"/>
      <c r="K51" s="5"/>
      <c r="L51" s="16"/>
    </row>
    <row r="52" spans="1:24" x14ac:dyDescent="0.25">
      <c r="H52" s="16"/>
      <c r="L52" s="5"/>
    </row>
    <row r="53" spans="1:24" x14ac:dyDescent="0.25">
      <c r="B53" s="638" t="s">
        <v>24</v>
      </c>
      <c r="C53" s="638"/>
      <c r="D53" s="27"/>
      <c r="E53" s="166"/>
      <c r="F53" s="166"/>
      <c r="G53" s="166"/>
      <c r="H53" s="166"/>
      <c r="L53" s="5"/>
    </row>
    <row r="54" spans="1:24" x14ac:dyDescent="0.25">
      <c r="E54" s="166"/>
      <c r="F54" s="166"/>
      <c r="G54" s="166"/>
      <c r="H54" s="166"/>
    </row>
    <row r="55" spans="1:24" x14ac:dyDescent="0.25">
      <c r="A55" s="121"/>
      <c r="B55" s="639"/>
      <c r="C55" s="639"/>
      <c r="D55" s="166"/>
      <c r="E55" s="166"/>
      <c r="F55" s="639"/>
      <c r="G55" s="639"/>
      <c r="H55" s="166"/>
      <c r="J55" s="633" t="s">
        <v>35</v>
      </c>
      <c r="K55" s="633"/>
      <c r="N55" s="633" t="s">
        <v>36</v>
      </c>
      <c r="O55" s="633"/>
      <c r="R55" s="633" t="s">
        <v>197</v>
      </c>
      <c r="S55" s="633"/>
      <c r="V55" s="631" t="s">
        <v>198</v>
      </c>
      <c r="W55" s="631"/>
    </row>
    <row r="56" spans="1:24" x14ac:dyDescent="0.25">
      <c r="A56" s="43"/>
      <c r="B56" s="167"/>
      <c r="C56" s="166"/>
      <c r="D56" s="166"/>
      <c r="E56" s="43"/>
      <c r="F56" s="167"/>
      <c r="G56" s="166"/>
      <c r="H56" s="166"/>
      <c r="J56" s="14"/>
      <c r="K56" s="154">
        <v>66289.070000000007</v>
      </c>
      <c r="L56" s="89" t="s">
        <v>29</v>
      </c>
      <c r="M56" s="19" t="s">
        <v>159</v>
      </c>
      <c r="N56" s="153">
        <v>4676.09</v>
      </c>
      <c r="R56" s="14"/>
      <c r="S56" s="123">
        <f>R6</f>
        <v>8710.93</v>
      </c>
      <c r="T56" s="89" t="s">
        <v>154</v>
      </c>
      <c r="V56" s="632"/>
      <c r="W56" s="632"/>
    </row>
    <row r="57" spans="1:24" x14ac:dyDescent="0.25">
      <c r="A57" s="166"/>
      <c r="B57" s="168"/>
      <c r="C57" s="166"/>
      <c r="D57" s="166"/>
      <c r="E57" s="166"/>
      <c r="F57" s="168"/>
      <c r="G57" s="169"/>
      <c r="H57" s="166"/>
      <c r="J57" s="36"/>
      <c r="K57" s="155">
        <v>36805.35</v>
      </c>
      <c r="L57" s="89" t="s">
        <v>33</v>
      </c>
      <c r="M57" s="19" t="s">
        <v>161</v>
      </c>
      <c r="N57" s="170">
        <v>2293.6799999999998</v>
      </c>
      <c r="R57" s="16"/>
      <c r="S57" s="139">
        <f>V6</f>
        <v>300</v>
      </c>
      <c r="T57" s="89" t="s">
        <v>43</v>
      </c>
      <c r="U57" s="19" t="s">
        <v>70</v>
      </c>
      <c r="V57" s="171">
        <v>30</v>
      </c>
      <c r="W57" s="89">
        <f>V57</f>
        <v>30</v>
      </c>
      <c r="X57" s="89" t="s">
        <v>91</v>
      </c>
    </row>
    <row r="58" spans="1:24" x14ac:dyDescent="0.25">
      <c r="A58" s="166"/>
      <c r="B58" s="166"/>
      <c r="C58" s="166"/>
      <c r="D58" s="166"/>
      <c r="E58" s="166"/>
      <c r="F58" s="166"/>
      <c r="G58" s="166"/>
      <c r="H58" s="166"/>
      <c r="I58" s="19" t="s">
        <v>90</v>
      </c>
      <c r="J58" s="57">
        <f>K58</f>
        <v>103094.42000000001</v>
      </c>
      <c r="K58" s="172">
        <f>SUM(K56:K57)</f>
        <v>103094.42000000001</v>
      </c>
      <c r="M58" s="19"/>
      <c r="N58" s="82"/>
      <c r="O58" s="4"/>
      <c r="R58" s="16"/>
      <c r="S58" s="139">
        <f>V20</f>
        <v>2000</v>
      </c>
      <c r="T58" s="89" t="s">
        <v>178</v>
      </c>
      <c r="U58" s="19"/>
      <c r="V58" s="16"/>
    </row>
    <row r="59" spans="1:24" x14ac:dyDescent="0.25">
      <c r="A59" s="166"/>
      <c r="B59" s="166"/>
      <c r="C59" s="166"/>
      <c r="D59" s="166"/>
      <c r="E59" s="166"/>
      <c r="F59" s="166"/>
      <c r="G59" s="166"/>
      <c r="H59" s="166"/>
      <c r="I59" s="19"/>
      <c r="J59" s="57"/>
      <c r="K59" s="172"/>
      <c r="M59" s="19"/>
      <c r="N59" s="82"/>
      <c r="O59" s="4"/>
      <c r="R59" s="16"/>
      <c r="S59" s="139">
        <v>4836.53</v>
      </c>
      <c r="T59" s="89" t="s">
        <v>157</v>
      </c>
      <c r="U59" s="19"/>
      <c r="V59" s="16"/>
    </row>
    <row r="60" spans="1:24" x14ac:dyDescent="0.25">
      <c r="A60" s="5"/>
      <c r="B60" s="5"/>
      <c r="C60" s="5"/>
      <c r="E60" s="166"/>
      <c r="F60" s="166"/>
      <c r="G60" s="166"/>
      <c r="H60" s="166"/>
      <c r="I60" s="19"/>
      <c r="J60" s="173"/>
      <c r="K60" s="174"/>
      <c r="N60" s="175">
        <f>SUM(N56:N57)</f>
        <v>6969.77</v>
      </c>
      <c r="O60" s="80">
        <f>N60</f>
        <v>6969.77</v>
      </c>
      <c r="P60" s="89" t="s">
        <v>91</v>
      </c>
      <c r="R60" s="36"/>
      <c r="S60" s="47">
        <f>V21</f>
        <v>200</v>
      </c>
      <c r="T60" s="89" t="s">
        <v>180</v>
      </c>
      <c r="U60" s="19"/>
      <c r="V60" s="16"/>
    </row>
    <row r="61" spans="1:24" x14ac:dyDescent="0.25">
      <c r="A61" s="5"/>
      <c r="B61" s="5"/>
      <c r="C61" s="5"/>
      <c r="J61" s="16"/>
      <c r="K61" s="62"/>
      <c r="N61" s="16"/>
      <c r="Q61" s="89" t="s">
        <v>90</v>
      </c>
      <c r="R61" s="57">
        <f>S61</f>
        <v>16047.46</v>
      </c>
      <c r="S61" s="138">
        <f>SUM(S56:S60)</f>
        <v>16047.46</v>
      </c>
      <c r="U61" s="19"/>
      <c r="V61" s="16"/>
    </row>
    <row r="62" spans="1:24" x14ac:dyDescent="0.25">
      <c r="J62" s="16"/>
      <c r="N62" s="16"/>
      <c r="R62" s="16"/>
      <c r="U62" s="19"/>
      <c r="V62" s="16"/>
    </row>
    <row r="63" spans="1:24" x14ac:dyDescent="0.25">
      <c r="U63" s="19"/>
    </row>
    <row r="64" spans="1:24" x14ac:dyDescent="0.25">
      <c r="B64" s="633" t="s">
        <v>37</v>
      </c>
      <c r="C64" s="633"/>
      <c r="F64" s="633" t="s">
        <v>39</v>
      </c>
      <c r="G64" s="633"/>
      <c r="R64" s="634" t="s">
        <v>199</v>
      </c>
      <c r="S64" s="633"/>
      <c r="U64" s="19"/>
      <c r="V64" s="631" t="s">
        <v>200</v>
      </c>
      <c r="W64" s="631"/>
    </row>
    <row r="65" spans="1:24" x14ac:dyDescent="0.25">
      <c r="A65" s="19" t="s">
        <v>184</v>
      </c>
      <c r="B65" s="33">
        <v>12750</v>
      </c>
      <c r="C65" s="13"/>
      <c r="E65" s="19" t="s">
        <v>169</v>
      </c>
      <c r="F65" s="137">
        <v>300</v>
      </c>
      <c r="G65" s="89">
        <f>F65</f>
        <v>300</v>
      </c>
      <c r="H65" s="89" t="s">
        <v>91</v>
      </c>
      <c r="Q65" s="19" t="s">
        <v>165</v>
      </c>
      <c r="R65" s="44">
        <f>R12+R19</f>
        <v>6030</v>
      </c>
      <c r="S65" s="46">
        <f>R65</f>
        <v>6030</v>
      </c>
      <c r="T65" s="89" t="s">
        <v>91</v>
      </c>
      <c r="U65" s="19"/>
      <c r="V65" s="632"/>
      <c r="W65" s="632"/>
    </row>
    <row r="66" spans="1:24" x14ac:dyDescent="0.25">
      <c r="A66" s="19" t="s">
        <v>186</v>
      </c>
      <c r="B66" s="176">
        <v>7437.5</v>
      </c>
      <c r="C66" s="4"/>
      <c r="E66" s="19"/>
      <c r="F66" s="36"/>
      <c r="G66" s="4"/>
      <c r="R66" s="16"/>
      <c r="U66" s="19" t="s">
        <v>177</v>
      </c>
      <c r="V66" s="171">
        <v>110</v>
      </c>
      <c r="W66" s="89">
        <f>V66</f>
        <v>110</v>
      </c>
      <c r="X66" s="89" t="s">
        <v>91</v>
      </c>
    </row>
    <row r="67" spans="1:24" x14ac:dyDescent="0.25">
      <c r="A67" s="19"/>
      <c r="B67" s="177">
        <f>SUM(B65:B66)</f>
        <v>20187.5</v>
      </c>
      <c r="C67" s="139">
        <f>B67</f>
        <v>20187.5</v>
      </c>
      <c r="D67" s="89" t="s">
        <v>91</v>
      </c>
      <c r="F67" s="8"/>
      <c r="G67" s="7"/>
      <c r="J67" s="631" t="s">
        <v>53</v>
      </c>
      <c r="K67" s="631"/>
      <c r="N67" s="633" t="s">
        <v>69</v>
      </c>
      <c r="O67" s="633"/>
      <c r="R67" s="16"/>
      <c r="U67" s="19"/>
      <c r="V67" s="16"/>
    </row>
    <row r="68" spans="1:24" x14ac:dyDescent="0.25">
      <c r="B68" s="38"/>
      <c r="C68" s="178"/>
      <c r="F68" s="16"/>
      <c r="J68" s="632"/>
      <c r="K68" s="632"/>
      <c r="M68" s="19" t="s">
        <v>45</v>
      </c>
      <c r="N68" s="179">
        <v>9166.67</v>
      </c>
      <c r="O68" s="180"/>
      <c r="R68" s="16"/>
      <c r="U68" s="19"/>
      <c r="V68" s="16"/>
    </row>
    <row r="69" spans="1:24" x14ac:dyDescent="0.25">
      <c r="B69" s="16"/>
      <c r="C69" s="15"/>
      <c r="I69" s="19" t="s">
        <v>49</v>
      </c>
      <c r="J69" s="181">
        <f>15000+8000</f>
        <v>23000</v>
      </c>
      <c r="K69" s="63">
        <f>J69</f>
        <v>23000</v>
      </c>
      <c r="L69" s="89" t="s">
        <v>91</v>
      </c>
      <c r="M69" s="19" t="s">
        <v>72</v>
      </c>
      <c r="N69" s="16">
        <v>6666.67</v>
      </c>
      <c r="O69" s="5"/>
      <c r="U69" s="19"/>
      <c r="V69" s="16"/>
    </row>
    <row r="70" spans="1:24" x14ac:dyDescent="0.25">
      <c r="J70" s="66"/>
      <c r="K70" s="65"/>
      <c r="M70" s="19" t="s">
        <v>73</v>
      </c>
      <c r="N70" s="36">
        <v>1600</v>
      </c>
      <c r="O70" s="4"/>
      <c r="R70" s="633" t="s">
        <v>201</v>
      </c>
      <c r="S70" s="633"/>
      <c r="U70" s="19"/>
      <c r="V70" s="16"/>
    </row>
    <row r="71" spans="1:24" x14ac:dyDescent="0.25">
      <c r="J71" s="5"/>
      <c r="K71" s="5"/>
      <c r="M71" s="19"/>
      <c r="N71" s="149">
        <f>SUM(N68:N70)</f>
        <v>17433.34</v>
      </c>
      <c r="O71" s="24">
        <f>N71</f>
        <v>17433.34</v>
      </c>
      <c r="P71" s="89" t="s">
        <v>91</v>
      </c>
      <c r="Q71" s="19" t="s">
        <v>50</v>
      </c>
      <c r="R71" s="182">
        <v>10000</v>
      </c>
      <c r="S71" s="41">
        <f>R71</f>
        <v>10000</v>
      </c>
      <c r="T71" s="89" t="s">
        <v>91</v>
      </c>
      <c r="U71" s="19"/>
    </row>
    <row r="72" spans="1:24" x14ac:dyDescent="0.25">
      <c r="B72" s="633" t="s">
        <v>42</v>
      </c>
      <c r="C72" s="633"/>
      <c r="F72" s="633" t="s">
        <v>52</v>
      </c>
      <c r="G72" s="633"/>
      <c r="R72" s="16"/>
    </row>
    <row r="73" spans="1:24" x14ac:dyDescent="0.25">
      <c r="A73" s="19" t="s">
        <v>34</v>
      </c>
      <c r="B73" s="183">
        <v>1200</v>
      </c>
      <c r="C73" s="7">
        <f>B73</f>
        <v>1200</v>
      </c>
      <c r="D73" s="89" t="s">
        <v>91</v>
      </c>
      <c r="E73" s="19" t="s">
        <v>185</v>
      </c>
      <c r="F73" s="14">
        <v>791.86</v>
      </c>
      <c r="J73" s="633" t="s">
        <v>71</v>
      </c>
      <c r="K73" s="633"/>
      <c r="N73" s="633" t="s">
        <v>76</v>
      </c>
      <c r="O73" s="633"/>
      <c r="R73" s="16"/>
    </row>
    <row r="74" spans="1:24" x14ac:dyDescent="0.25">
      <c r="B74" s="16"/>
      <c r="E74" s="19" t="s">
        <v>187</v>
      </c>
      <c r="F74" s="81">
        <v>615.35</v>
      </c>
      <c r="G74" s="5"/>
      <c r="I74" s="19" t="s">
        <v>189</v>
      </c>
      <c r="J74" s="160">
        <f>[2]DRE!F30</f>
        <v>7459.0149999999994</v>
      </c>
      <c r="K74" s="164">
        <f>J74</f>
        <v>7459.0149999999994</v>
      </c>
      <c r="L74" s="89" t="s">
        <v>91</v>
      </c>
      <c r="M74" s="19" t="s">
        <v>190</v>
      </c>
      <c r="N74" s="160">
        <f>[2]DRE!F31</f>
        <v>2685.2453999999998</v>
      </c>
      <c r="O74" s="80">
        <f>N74</f>
        <v>2685.2453999999998</v>
      </c>
      <c r="P74" s="89" t="s">
        <v>91</v>
      </c>
      <c r="R74" s="16"/>
    </row>
    <row r="75" spans="1:24" x14ac:dyDescent="0.25">
      <c r="B75" s="16"/>
      <c r="E75" s="19"/>
      <c r="F75" s="57"/>
      <c r="G75" s="184"/>
      <c r="J75" s="16"/>
      <c r="N75" s="16"/>
    </row>
    <row r="76" spans="1:24" x14ac:dyDescent="0.25">
      <c r="E76" s="19" t="s">
        <v>166</v>
      </c>
      <c r="F76" s="16">
        <v>600</v>
      </c>
      <c r="J76" s="16"/>
      <c r="N76" s="16"/>
    </row>
    <row r="77" spans="1:24" x14ac:dyDescent="0.25">
      <c r="E77" s="19" t="s">
        <v>150</v>
      </c>
      <c r="F77" s="16">
        <v>200</v>
      </c>
      <c r="Q77" s="5"/>
    </row>
    <row r="78" spans="1:24" x14ac:dyDescent="0.25">
      <c r="E78" s="19" t="s">
        <v>202</v>
      </c>
      <c r="F78" s="16">
        <v>400</v>
      </c>
      <c r="Q78" s="5"/>
    </row>
    <row r="79" spans="1:24" x14ac:dyDescent="0.25">
      <c r="E79" s="19" t="s">
        <v>155</v>
      </c>
      <c r="F79" s="16">
        <v>400</v>
      </c>
    </row>
    <row r="80" spans="1:24" x14ac:dyDescent="0.25">
      <c r="E80" s="19" t="s">
        <v>179</v>
      </c>
      <c r="F80" s="16">
        <v>400</v>
      </c>
    </row>
    <row r="81" spans="5:10" x14ac:dyDescent="0.25">
      <c r="E81" s="19" t="s">
        <v>54</v>
      </c>
      <c r="F81" s="36">
        <v>638</v>
      </c>
      <c r="G81" s="4"/>
    </row>
    <row r="82" spans="5:10" x14ac:dyDescent="0.25">
      <c r="E82" s="19"/>
      <c r="F82" s="129">
        <f>SUM(F73:F81)</f>
        <v>4045.21</v>
      </c>
      <c r="G82" s="46">
        <f>F82</f>
        <v>4045.21</v>
      </c>
      <c r="H82" s="89" t="s">
        <v>91</v>
      </c>
    </row>
    <row r="83" spans="5:10" x14ac:dyDescent="0.25">
      <c r="E83" s="19"/>
      <c r="F83" s="16"/>
    </row>
    <row r="85" spans="5:10" x14ac:dyDescent="0.25">
      <c r="F85" s="630" t="s">
        <v>89</v>
      </c>
      <c r="G85" s="630"/>
    </row>
    <row r="86" spans="5:10" x14ac:dyDescent="0.25">
      <c r="E86" s="19"/>
      <c r="F86" s="185">
        <f>C67</f>
        <v>20187.5</v>
      </c>
      <c r="G86" s="123">
        <f>J58</f>
        <v>103094.42000000001</v>
      </c>
      <c r="H86" s="89" t="s">
        <v>90</v>
      </c>
      <c r="J86" s="5"/>
    </row>
    <row r="87" spans="5:10" x14ac:dyDescent="0.25">
      <c r="E87" s="19"/>
      <c r="F87" s="186">
        <f>C73</f>
        <v>1200</v>
      </c>
      <c r="G87" s="165">
        <f>R61</f>
        <v>16047.46</v>
      </c>
      <c r="H87" s="89" t="s">
        <v>90</v>
      </c>
    </row>
    <row r="88" spans="5:10" x14ac:dyDescent="0.25">
      <c r="E88" s="19"/>
      <c r="F88" s="187">
        <f>G65</f>
        <v>300</v>
      </c>
      <c r="G88" s="139"/>
    </row>
    <row r="89" spans="5:10" x14ac:dyDescent="0.25">
      <c r="E89" s="19"/>
      <c r="F89" s="186">
        <f>G82</f>
        <v>4045.21</v>
      </c>
      <c r="G89" s="139"/>
    </row>
    <row r="90" spans="5:10" x14ac:dyDescent="0.25">
      <c r="E90" s="19"/>
      <c r="F90" s="186">
        <f>K69</f>
        <v>23000</v>
      </c>
      <c r="G90" s="139"/>
    </row>
    <row r="91" spans="5:10" x14ac:dyDescent="0.25">
      <c r="E91" s="19"/>
      <c r="F91" s="186">
        <f>O60</f>
        <v>6969.77</v>
      </c>
      <c r="G91" s="139"/>
    </row>
    <row r="92" spans="5:10" x14ac:dyDescent="0.25">
      <c r="E92" s="19"/>
      <c r="F92" s="186">
        <f>O71</f>
        <v>17433.34</v>
      </c>
      <c r="G92" s="139"/>
    </row>
    <row r="93" spans="5:10" x14ac:dyDescent="0.25">
      <c r="E93" s="19"/>
      <c r="F93" s="186">
        <f>S65</f>
        <v>6030</v>
      </c>
      <c r="G93" s="139"/>
    </row>
    <row r="94" spans="5:10" x14ac:dyDescent="0.25">
      <c r="E94" s="19"/>
      <c r="F94" s="186">
        <f>S71</f>
        <v>10000</v>
      </c>
      <c r="G94" s="139"/>
    </row>
    <row r="95" spans="5:10" x14ac:dyDescent="0.25">
      <c r="E95" s="19"/>
      <c r="F95" s="186">
        <f>W57</f>
        <v>30</v>
      </c>
      <c r="G95" s="165"/>
    </row>
    <row r="96" spans="5:10" x14ac:dyDescent="0.25">
      <c r="E96" s="19"/>
      <c r="F96" s="67">
        <f>W66</f>
        <v>110</v>
      </c>
      <c r="G96" s="150"/>
    </row>
    <row r="97" spans="5:7" x14ac:dyDescent="0.25">
      <c r="E97" s="19"/>
      <c r="F97" s="56">
        <f>SUM(F86:F96)</f>
        <v>89305.819999999992</v>
      </c>
      <c r="G97" s="64">
        <f>SUM(G86:G87)</f>
        <v>119141.88</v>
      </c>
    </row>
    <row r="98" spans="5:7" x14ac:dyDescent="0.25">
      <c r="F98" s="44">
        <f>K74</f>
        <v>7459.0149999999994</v>
      </c>
      <c r="G98" s="163">
        <f>G97-F97</f>
        <v>29836.060000000012</v>
      </c>
    </row>
    <row r="99" spans="5:7" x14ac:dyDescent="0.25">
      <c r="E99" s="19"/>
      <c r="F99" s="67">
        <f>O74</f>
        <v>2685.2453999999998</v>
      </c>
      <c r="G99" s="150"/>
    </row>
    <row r="100" spans="5:7" x14ac:dyDescent="0.25">
      <c r="F100" s="56">
        <f>SUM(F98:F99)</f>
        <v>10144.260399999999</v>
      </c>
      <c r="G100" s="164">
        <f>G98</f>
        <v>29836.060000000012</v>
      </c>
    </row>
    <row r="101" spans="5:7" x14ac:dyDescent="0.25">
      <c r="E101" s="19" t="s">
        <v>92</v>
      </c>
      <c r="F101" s="44">
        <f>G101</f>
        <v>19691.799600000013</v>
      </c>
      <c r="G101" s="46">
        <f>G100-F100</f>
        <v>19691.799600000013</v>
      </c>
    </row>
  </sheetData>
  <mergeCells count="58">
    <mergeCell ref="B2:C2"/>
    <mergeCell ref="AD3:AE7"/>
    <mergeCell ref="B4:C4"/>
    <mergeCell ref="F4:G4"/>
    <mergeCell ref="J4:K5"/>
    <mergeCell ref="N4:O4"/>
    <mergeCell ref="R4:S5"/>
    <mergeCell ref="V4:W4"/>
    <mergeCell ref="Z4:AA4"/>
    <mergeCell ref="F9:G9"/>
    <mergeCell ref="Z10:AA11"/>
    <mergeCell ref="J11:K11"/>
    <mergeCell ref="N11:O11"/>
    <mergeCell ref="R11:S11"/>
    <mergeCell ref="V11:W11"/>
    <mergeCell ref="N28:O29"/>
    <mergeCell ref="AD13:AE18"/>
    <mergeCell ref="F18:G19"/>
    <mergeCell ref="J18:K19"/>
    <mergeCell ref="N18:O19"/>
    <mergeCell ref="R18:S18"/>
    <mergeCell ref="V18:W18"/>
    <mergeCell ref="Z18:AA18"/>
    <mergeCell ref="B19:C19"/>
    <mergeCell ref="B26:C26"/>
    <mergeCell ref="B28:C28"/>
    <mergeCell ref="F28:G29"/>
    <mergeCell ref="J28:K29"/>
    <mergeCell ref="B36:C36"/>
    <mergeCell ref="F36:G36"/>
    <mergeCell ref="J36:K36"/>
    <mergeCell ref="N36:O36"/>
    <mergeCell ref="B42:C42"/>
    <mergeCell ref="P44:Q45"/>
    <mergeCell ref="H49:I49"/>
    <mergeCell ref="B53:C53"/>
    <mergeCell ref="B55:C55"/>
    <mergeCell ref="F55:G55"/>
    <mergeCell ref="J55:K55"/>
    <mergeCell ref="N55:O55"/>
    <mergeCell ref="A44:B44"/>
    <mergeCell ref="D44:E45"/>
    <mergeCell ref="H44:I44"/>
    <mergeCell ref="L44:M45"/>
    <mergeCell ref="R55:S55"/>
    <mergeCell ref="V55:W56"/>
    <mergeCell ref="B64:C64"/>
    <mergeCell ref="F64:G64"/>
    <mergeCell ref="R64:S64"/>
    <mergeCell ref="V64:W65"/>
    <mergeCell ref="F85:G85"/>
    <mergeCell ref="J67:K68"/>
    <mergeCell ref="N67:O67"/>
    <mergeCell ref="R70:S70"/>
    <mergeCell ref="B72:C72"/>
    <mergeCell ref="F72:G72"/>
    <mergeCell ref="J73:K73"/>
    <mergeCell ref="N73:O73"/>
  </mergeCells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showGridLines="0" topLeftCell="A35" zoomScale="210" zoomScaleNormal="210" workbookViewId="0">
      <selection activeCell="A46" sqref="A46"/>
    </sheetView>
  </sheetViews>
  <sheetFormatPr defaultColWidth="9.140625" defaultRowHeight="15" x14ac:dyDescent="0.25"/>
  <cols>
    <col min="1" max="1" width="34.7109375" style="414" bestFit="1" customWidth="1"/>
    <col min="2" max="2" width="9.140625" style="414" customWidth="1"/>
    <col min="3" max="3" width="9.140625" style="414"/>
    <col min="4" max="4" width="9.140625" style="576"/>
    <col min="5" max="5" width="2.140625" style="414" customWidth="1"/>
    <col min="6" max="6" width="17.42578125" style="414" customWidth="1"/>
    <col min="7" max="16384" width="9.140625" style="414"/>
  </cols>
  <sheetData>
    <row r="2" spans="1:7" x14ac:dyDescent="0.25">
      <c r="B2" s="423" t="s">
        <v>18</v>
      </c>
      <c r="C2" s="423"/>
      <c r="D2" s="351"/>
    </row>
    <row r="4" spans="1:7" x14ac:dyDescent="0.25">
      <c r="A4" s="414" t="s">
        <v>19</v>
      </c>
      <c r="F4" s="440">
        <f>'[3]Raz x1'!D70</f>
        <v>108500</v>
      </c>
    </row>
    <row r="5" spans="1:7" x14ac:dyDescent="0.25">
      <c r="A5" s="414" t="s">
        <v>55</v>
      </c>
      <c r="F5" s="440"/>
    </row>
    <row r="6" spans="1:7" x14ac:dyDescent="0.25">
      <c r="A6" s="417" t="s">
        <v>56</v>
      </c>
      <c r="E6" s="39" t="s">
        <v>57</v>
      </c>
      <c r="F6" s="441">
        <f>'[3]Raz x1'!M57</f>
        <v>18445</v>
      </c>
      <c r="G6" s="415" t="s">
        <v>58</v>
      </c>
    </row>
    <row r="7" spans="1:7" x14ac:dyDescent="0.25">
      <c r="A7" s="414" t="s">
        <v>59</v>
      </c>
      <c r="F7" s="440">
        <f>F4-F6</f>
        <v>90055</v>
      </c>
    </row>
    <row r="11" spans="1:7" x14ac:dyDescent="0.25">
      <c r="B11" s="653" t="s">
        <v>60</v>
      </c>
      <c r="C11" s="653"/>
      <c r="D11" s="653"/>
      <c r="E11" s="653"/>
      <c r="F11" s="653"/>
    </row>
    <row r="12" spans="1:7" x14ac:dyDescent="0.25">
      <c r="B12" s="653" t="s">
        <v>61</v>
      </c>
      <c r="C12" s="653"/>
      <c r="D12" s="653"/>
      <c r="E12" s="653"/>
      <c r="F12" s="653"/>
    </row>
    <row r="13" spans="1:7" x14ac:dyDescent="0.25">
      <c r="B13" s="653" t="s">
        <v>62</v>
      </c>
      <c r="C13" s="653"/>
      <c r="D13" s="653"/>
      <c r="E13" s="653"/>
      <c r="F13" s="653"/>
    </row>
    <row r="14" spans="1:7" x14ac:dyDescent="0.25">
      <c r="B14" s="653" t="s">
        <v>63</v>
      </c>
      <c r="C14" s="653"/>
      <c r="D14" s="653"/>
      <c r="E14" s="653"/>
      <c r="F14" s="653"/>
    </row>
    <row r="15" spans="1:7" x14ac:dyDescent="0.25">
      <c r="F15" s="439"/>
    </row>
    <row r="16" spans="1:7" x14ac:dyDescent="0.25">
      <c r="A16" s="414" t="s">
        <v>64</v>
      </c>
      <c r="D16" s="576">
        <v>11</v>
      </c>
      <c r="F16" s="440">
        <f>F7</f>
        <v>90055</v>
      </c>
    </row>
    <row r="17" spans="1:7" x14ac:dyDescent="0.25">
      <c r="A17" s="414" t="s">
        <v>65</v>
      </c>
      <c r="E17" s="39" t="s">
        <v>57</v>
      </c>
      <c r="F17" s="441">
        <f>'[3]Raz x1'!H57</f>
        <v>9026.25</v>
      </c>
      <c r="G17" s="415" t="s">
        <v>58</v>
      </c>
    </row>
    <row r="18" spans="1:7" x14ac:dyDescent="0.25">
      <c r="A18" s="421" t="s">
        <v>66</v>
      </c>
      <c r="B18" s="421"/>
      <c r="C18" s="421"/>
      <c r="D18" s="578"/>
      <c r="E18" s="421"/>
      <c r="F18" s="442">
        <f>F16-F17</f>
        <v>81028.75</v>
      </c>
      <c r="G18" s="422"/>
    </row>
    <row r="19" spans="1:7" x14ac:dyDescent="0.25">
      <c r="F19" s="440"/>
    </row>
    <row r="20" spans="1:7" x14ac:dyDescent="0.25">
      <c r="A20" s="418" t="s">
        <v>475</v>
      </c>
      <c r="B20" s="455"/>
      <c r="F20" s="440"/>
    </row>
    <row r="21" spans="1:7" x14ac:dyDescent="0.25">
      <c r="A21" s="417" t="s">
        <v>222</v>
      </c>
      <c r="B21" s="455"/>
      <c r="E21" s="29" t="s">
        <v>57</v>
      </c>
      <c r="F21" s="443">
        <f>'[3]Raz x1'!C57</f>
        <v>700</v>
      </c>
      <c r="G21" s="5" t="s">
        <v>58</v>
      </c>
    </row>
    <row r="22" spans="1:7" x14ac:dyDescent="0.25">
      <c r="A22" s="417" t="s">
        <v>223</v>
      </c>
      <c r="B22" s="455"/>
      <c r="E22" s="19" t="s">
        <v>57</v>
      </c>
      <c r="F22" s="444">
        <f>'[3]Raz x1'!AG57</f>
        <v>2000</v>
      </c>
      <c r="G22" s="414" t="s">
        <v>58</v>
      </c>
    </row>
    <row r="23" spans="1:7" x14ac:dyDescent="0.25">
      <c r="A23" s="417"/>
      <c r="E23" s="19"/>
      <c r="F23" s="444"/>
    </row>
    <row r="24" spans="1:7" x14ac:dyDescent="0.25">
      <c r="A24" s="418" t="s">
        <v>474</v>
      </c>
      <c r="F24" s="440"/>
    </row>
    <row r="25" spans="1:7" x14ac:dyDescent="0.25">
      <c r="A25" s="417" t="s">
        <v>468</v>
      </c>
      <c r="E25" s="19" t="s">
        <v>57</v>
      </c>
      <c r="F25" s="444">
        <f>'[3]Raz x1'!AV57</f>
        <v>600</v>
      </c>
      <c r="G25" s="414" t="s">
        <v>58</v>
      </c>
    </row>
    <row r="26" spans="1:7" x14ac:dyDescent="0.25">
      <c r="A26" s="417" t="s">
        <v>469</v>
      </c>
      <c r="E26" s="19" t="s">
        <v>57</v>
      </c>
      <c r="F26" s="444">
        <f>'[3]Raz x1'!AL57</f>
        <v>450</v>
      </c>
      <c r="G26" s="414" t="s">
        <v>58</v>
      </c>
    </row>
    <row r="27" spans="1:7" x14ac:dyDescent="0.25">
      <c r="A27" s="417" t="s">
        <v>470</v>
      </c>
      <c r="E27" s="19" t="s">
        <v>57</v>
      </c>
      <c r="F27" s="444">
        <f>'[3]Raz x1'!AQ57</f>
        <v>21266.67</v>
      </c>
      <c r="G27" s="414" t="s">
        <v>58</v>
      </c>
    </row>
    <row r="28" spans="1:7" x14ac:dyDescent="0.25">
      <c r="A28" s="417" t="s">
        <v>471</v>
      </c>
      <c r="E28" s="29" t="s">
        <v>57</v>
      </c>
      <c r="F28" s="443">
        <v>1000</v>
      </c>
      <c r="G28" s="5" t="s">
        <v>58</v>
      </c>
    </row>
    <row r="29" spans="1:7" x14ac:dyDescent="0.25">
      <c r="A29" s="417" t="s">
        <v>472</v>
      </c>
      <c r="E29" s="29" t="s">
        <v>57</v>
      </c>
      <c r="F29" s="443">
        <v>2000</v>
      </c>
      <c r="G29" s="5" t="s">
        <v>58</v>
      </c>
    </row>
    <row r="30" spans="1:7" x14ac:dyDescent="0.25">
      <c r="A30" s="417" t="s">
        <v>473</v>
      </c>
      <c r="E30" s="29" t="s">
        <v>57</v>
      </c>
      <c r="F30" s="443">
        <v>5000</v>
      </c>
      <c r="G30" s="5" t="s">
        <v>58</v>
      </c>
    </row>
    <row r="31" spans="1:7" x14ac:dyDescent="0.25">
      <c r="A31" s="417"/>
      <c r="E31" s="29"/>
      <c r="F31" s="443"/>
      <c r="G31" s="5"/>
    </row>
    <row r="32" spans="1:7" s="418" customFormat="1" x14ac:dyDescent="0.25">
      <c r="A32" s="421" t="s">
        <v>478</v>
      </c>
      <c r="B32" s="421"/>
      <c r="C32" s="421"/>
      <c r="D32" s="578"/>
      <c r="E32" s="424"/>
      <c r="F32" s="445">
        <f>F18-F25-F22-F26-F27-F28-F21-F29-F30</f>
        <v>48012.08</v>
      </c>
      <c r="G32" s="424"/>
    </row>
    <row r="33" spans="1:7" s="425" customFormat="1" x14ac:dyDescent="0.25">
      <c r="D33" s="579"/>
      <c r="E33" s="188"/>
      <c r="F33" s="446"/>
      <c r="G33" s="188"/>
    </row>
    <row r="34" spans="1:7" s="418" customFormat="1" x14ac:dyDescent="0.25">
      <c r="A34" s="237" t="s">
        <v>367</v>
      </c>
      <c r="D34" s="577">
        <v>12</v>
      </c>
      <c r="E34" s="419"/>
      <c r="F34" s="447"/>
      <c r="G34" s="419"/>
    </row>
    <row r="35" spans="1:7" s="237" customFormat="1" x14ac:dyDescent="0.25">
      <c r="A35" s="237" t="s">
        <v>476</v>
      </c>
      <c r="D35" s="577">
        <v>12</v>
      </c>
      <c r="E35" s="426" t="s">
        <v>57</v>
      </c>
      <c r="F35" s="448">
        <f>'[3]Raz x1'!BA57</f>
        <v>1387</v>
      </c>
      <c r="G35" s="427" t="s">
        <v>58</v>
      </c>
    </row>
    <row r="36" spans="1:7" s="418" customFormat="1" x14ac:dyDescent="0.25">
      <c r="D36" s="351"/>
      <c r="E36" s="420"/>
      <c r="F36" s="449"/>
      <c r="G36" s="419"/>
    </row>
    <row r="37" spans="1:7" s="418" customFormat="1" x14ac:dyDescent="0.25">
      <c r="A37" s="421" t="s">
        <v>477</v>
      </c>
      <c r="B37" s="421"/>
      <c r="C37" s="421"/>
      <c r="D37" s="578"/>
      <c r="E37" s="424"/>
      <c r="F37" s="445">
        <f>-F35</f>
        <v>-1387</v>
      </c>
      <c r="G37" s="424"/>
    </row>
    <row r="38" spans="1:7" s="418" customFormat="1" x14ac:dyDescent="0.25">
      <c r="D38" s="351"/>
      <c r="E38" s="420"/>
      <c r="F38" s="449"/>
      <c r="G38" s="419"/>
    </row>
    <row r="39" spans="1:7" s="418" customFormat="1" x14ac:dyDescent="0.25">
      <c r="A39" s="421" t="s">
        <v>479</v>
      </c>
      <c r="B39" s="421"/>
      <c r="C39" s="421"/>
      <c r="D39" s="578"/>
      <c r="E39" s="424"/>
      <c r="F39" s="445">
        <f>F32+F37</f>
        <v>46625.08</v>
      </c>
      <c r="G39" s="424"/>
    </row>
    <row r="40" spans="1:7" s="425" customFormat="1" x14ac:dyDescent="0.25">
      <c r="D40" s="579"/>
      <c r="E40" s="188"/>
      <c r="F40" s="446"/>
      <c r="G40" s="188"/>
    </row>
    <row r="41" spans="1:7" x14ac:dyDescent="0.25">
      <c r="A41" s="414" t="s">
        <v>67</v>
      </c>
      <c r="D41" s="576">
        <v>13</v>
      </c>
      <c r="E41" s="43" t="s">
        <v>57</v>
      </c>
      <c r="F41" s="440">
        <f>F39*25%</f>
        <v>11656.27</v>
      </c>
      <c r="G41" s="414" t="s">
        <v>58</v>
      </c>
    </row>
    <row r="42" spans="1:7" x14ac:dyDescent="0.25">
      <c r="A42" s="414" t="s">
        <v>68</v>
      </c>
      <c r="D42" s="576">
        <v>13</v>
      </c>
      <c r="E42" s="39" t="s">
        <v>57</v>
      </c>
      <c r="F42" s="450">
        <f>F39*9%</f>
        <v>4196.2572</v>
      </c>
      <c r="G42" s="415" t="s">
        <v>58</v>
      </c>
    </row>
    <row r="43" spans="1:7" x14ac:dyDescent="0.25">
      <c r="E43" s="29"/>
      <c r="F43" s="451"/>
      <c r="G43" s="5"/>
    </row>
    <row r="44" spans="1:7" x14ac:dyDescent="0.25">
      <c r="A44" s="421" t="s">
        <v>480</v>
      </c>
      <c r="B44" s="421"/>
      <c r="C44" s="421"/>
      <c r="D44" s="578"/>
      <c r="E44" s="424"/>
      <c r="F44" s="445">
        <f>F39-F41-F42</f>
        <v>30772.552799999998</v>
      </c>
      <c r="G44" s="424"/>
    </row>
  </sheetData>
  <mergeCells count="4">
    <mergeCell ref="B11:F11"/>
    <mergeCell ref="B12:F12"/>
    <mergeCell ref="B13:F13"/>
    <mergeCell ref="B14:F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showGridLines="0" topLeftCell="G1" zoomScale="210" zoomScaleNormal="210" workbookViewId="0">
      <selection activeCell="N2" sqref="N2"/>
    </sheetView>
  </sheetViews>
  <sheetFormatPr defaultRowHeight="15" x14ac:dyDescent="0.25"/>
  <cols>
    <col min="6" max="6" width="13.28515625" bestFit="1" customWidth="1"/>
    <col min="13" max="13" width="13.28515625" bestFit="1" customWidth="1"/>
  </cols>
  <sheetData>
    <row r="2" spans="2:14" x14ac:dyDescent="0.25">
      <c r="B2" s="654" t="s">
        <v>77</v>
      </c>
      <c r="C2" s="654"/>
      <c r="D2" s="654"/>
      <c r="E2" s="654"/>
      <c r="I2" s="654" t="s">
        <v>81</v>
      </c>
      <c r="J2" s="654"/>
      <c r="K2" s="654"/>
      <c r="L2" s="654"/>
    </row>
    <row r="5" spans="2:14" x14ac:dyDescent="0.25">
      <c r="B5" s="42" t="s">
        <v>78</v>
      </c>
      <c r="F5" s="444">
        <f>'DRE x1'!F44</f>
        <v>30772.552799999998</v>
      </c>
      <c r="I5" s="42" t="s">
        <v>82</v>
      </c>
      <c r="M5" s="444">
        <f>F5</f>
        <v>30772.552799999998</v>
      </c>
    </row>
    <row r="6" spans="2:14" x14ac:dyDescent="0.25">
      <c r="B6" s="42" t="s">
        <v>79</v>
      </c>
      <c r="E6" s="39" t="s">
        <v>57</v>
      </c>
      <c r="F6" s="450">
        <f>F5*5%</f>
        <v>1538.6276399999999</v>
      </c>
      <c r="G6" s="4" t="s">
        <v>58</v>
      </c>
      <c r="I6" s="42" t="s">
        <v>83</v>
      </c>
      <c r="L6" s="19" t="s">
        <v>57</v>
      </c>
      <c r="M6" s="440">
        <f>F6</f>
        <v>1538.6276399999999</v>
      </c>
      <c r="N6" s="42" t="s">
        <v>58</v>
      </c>
    </row>
    <row r="7" spans="2:14" x14ac:dyDescent="0.25">
      <c r="B7" s="42" t="s">
        <v>80</v>
      </c>
      <c r="F7" s="440">
        <f>F5-F6</f>
        <v>29233.925159999999</v>
      </c>
      <c r="I7" s="42"/>
      <c r="L7" s="4"/>
      <c r="M7" s="441"/>
      <c r="N7" s="4"/>
    </row>
    <row r="8" spans="2:14" x14ac:dyDescent="0.25">
      <c r="I8" s="42" t="s">
        <v>80</v>
      </c>
      <c r="M8" s="440">
        <f>M5-M6</f>
        <v>29233.925159999999</v>
      </c>
    </row>
    <row r="9" spans="2:14" x14ac:dyDescent="0.25">
      <c r="I9" s="42" t="s">
        <v>84</v>
      </c>
      <c r="L9" s="19"/>
      <c r="M9" s="440">
        <f>M8*60%</f>
        <v>17540.355095999999</v>
      </c>
      <c r="N9" s="42"/>
    </row>
    <row r="13" spans="2:14" x14ac:dyDescent="0.25">
      <c r="K13" s="46"/>
    </row>
  </sheetData>
  <mergeCells count="2">
    <mergeCell ref="B2:E2"/>
    <mergeCell ref="I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"/>
  <sheetViews>
    <sheetView workbookViewId="0">
      <selection activeCell="F12" sqref="F12"/>
    </sheetView>
  </sheetViews>
  <sheetFormatPr defaultColWidth="9.140625" defaultRowHeight="15" x14ac:dyDescent="0.25"/>
  <cols>
    <col min="1" max="5" width="9.140625" style="116"/>
    <col min="6" max="6" width="10.5703125" style="116" bestFit="1" customWidth="1"/>
    <col min="7" max="7" width="11.42578125" style="116" bestFit="1" customWidth="1"/>
    <col min="8" max="8" width="13.28515625" style="116" bestFit="1" customWidth="1"/>
    <col min="9" max="10" width="14.28515625" style="116" bestFit="1" customWidth="1"/>
    <col min="11" max="11" width="10.5703125" style="116" bestFit="1" customWidth="1"/>
    <col min="12" max="15" width="9.140625" style="116"/>
    <col min="16" max="16" width="14.28515625" style="116" bestFit="1" customWidth="1"/>
    <col min="17" max="20" width="9.140625" style="116"/>
    <col min="21" max="21" width="14.28515625" style="116" bestFit="1" customWidth="1"/>
    <col min="22" max="16384" width="9.140625" style="116"/>
  </cols>
  <sheetData>
    <row r="2" spans="1:21" x14ac:dyDescent="0.25">
      <c r="C2" s="653" t="s">
        <v>96</v>
      </c>
      <c r="D2" s="653"/>
      <c r="E2" s="653"/>
      <c r="F2" s="653"/>
      <c r="G2" s="653"/>
      <c r="H2" s="653"/>
      <c r="I2" s="653"/>
    </row>
    <row r="3" spans="1:21" x14ac:dyDescent="0.25">
      <c r="C3" s="653" t="s">
        <v>97</v>
      </c>
      <c r="D3" s="653"/>
      <c r="E3" s="653"/>
      <c r="F3" s="653"/>
      <c r="G3" s="653"/>
      <c r="H3" s="653"/>
      <c r="I3" s="653"/>
    </row>
    <row r="4" spans="1:21" x14ac:dyDescent="0.25">
      <c r="C4" s="653" t="s">
        <v>63</v>
      </c>
      <c r="D4" s="653"/>
      <c r="E4" s="653"/>
      <c r="F4" s="653"/>
      <c r="G4" s="653"/>
      <c r="H4" s="653"/>
      <c r="I4" s="653"/>
    </row>
    <row r="6" spans="1:21" x14ac:dyDescent="0.25">
      <c r="A6" s="655" t="s">
        <v>98</v>
      </c>
      <c r="B6" s="656"/>
      <c r="C6" s="657"/>
      <c r="D6" s="658"/>
      <c r="E6" s="659"/>
      <c r="G6" s="660" t="s">
        <v>99</v>
      </c>
      <c r="H6" s="660"/>
      <c r="I6" s="660"/>
      <c r="J6" s="205"/>
      <c r="M6" s="116" t="s">
        <v>98</v>
      </c>
      <c r="R6" s="116" t="s">
        <v>99</v>
      </c>
    </row>
    <row r="7" spans="1:21" x14ac:dyDescent="0.25">
      <c r="A7" s="661" t="s">
        <v>21</v>
      </c>
      <c r="B7" s="662"/>
      <c r="C7" s="663"/>
      <c r="D7" s="664" t="e">
        <f>#REF!</f>
        <v>#REF!</v>
      </c>
      <c r="E7" s="665"/>
      <c r="F7" s="2" t="e">
        <f>D7-P7</f>
        <v>#REF!</v>
      </c>
      <c r="G7" s="666" t="s">
        <v>188</v>
      </c>
      <c r="H7" s="666"/>
      <c r="I7" s="666"/>
      <c r="J7" s="206" t="e">
        <f>#REF!</f>
        <v>#REF!</v>
      </c>
      <c r="K7" s="2" t="e">
        <f>J7-U7</f>
        <v>#REF!</v>
      </c>
      <c r="M7" s="116" t="s">
        <v>21</v>
      </c>
      <c r="P7" s="22">
        <v>302053.83999999997</v>
      </c>
      <c r="R7" s="116" t="s">
        <v>188</v>
      </c>
      <c r="U7" s="22">
        <v>3900</v>
      </c>
    </row>
    <row r="8" spans="1:21" x14ac:dyDescent="0.25">
      <c r="A8" s="661" t="s">
        <v>27</v>
      </c>
      <c r="B8" s="662"/>
      <c r="C8" s="663"/>
      <c r="D8" s="664"/>
      <c r="E8" s="665"/>
      <c r="F8" s="2">
        <f t="shared" ref="F8:F34" si="0">D8-P8</f>
        <v>0</v>
      </c>
      <c r="G8" s="666" t="s">
        <v>208</v>
      </c>
      <c r="H8" s="666"/>
      <c r="I8" s="666"/>
      <c r="J8" s="206" t="e">
        <f>#REF!</f>
        <v>#REF!</v>
      </c>
      <c r="K8" s="2" t="e">
        <f t="shared" ref="K8:K12" si="1">J8-U8</f>
        <v>#REF!</v>
      </c>
      <c r="M8" s="116" t="s">
        <v>27</v>
      </c>
      <c r="P8" s="22"/>
      <c r="R8" s="116" t="s">
        <v>208</v>
      </c>
      <c r="U8" s="22">
        <v>-113.59</v>
      </c>
    </row>
    <row r="9" spans="1:21" x14ac:dyDescent="0.25">
      <c r="A9" s="624" t="s">
        <v>209</v>
      </c>
      <c r="B9" s="625"/>
      <c r="C9" s="626"/>
      <c r="D9" s="664" t="e">
        <f>#REF!</f>
        <v>#REF!</v>
      </c>
      <c r="E9" s="665"/>
      <c r="F9" s="2" t="e">
        <f t="shared" si="0"/>
        <v>#REF!</v>
      </c>
      <c r="G9" s="666" t="s">
        <v>38</v>
      </c>
      <c r="H9" s="666"/>
      <c r="I9" s="666"/>
      <c r="J9" s="206" t="e">
        <f>#REF!</f>
        <v>#REF!</v>
      </c>
      <c r="K9" s="2" t="e">
        <f t="shared" si="1"/>
        <v>#REF!</v>
      </c>
      <c r="M9" s="116" t="s">
        <v>209</v>
      </c>
      <c r="P9" s="22">
        <v>80000</v>
      </c>
      <c r="R9" s="116" t="s">
        <v>38</v>
      </c>
      <c r="U9" s="22">
        <v>18062.5</v>
      </c>
    </row>
    <row r="10" spans="1:21" x14ac:dyDescent="0.25">
      <c r="A10" s="624" t="s">
        <v>210</v>
      </c>
      <c r="B10" s="625"/>
      <c r="C10" s="626"/>
      <c r="D10" s="664" t="e">
        <f>#REF!</f>
        <v>#REF!</v>
      </c>
      <c r="E10" s="665"/>
      <c r="F10" s="2" t="e">
        <f t="shared" si="0"/>
        <v>#REF!</v>
      </c>
      <c r="G10" s="666" t="s">
        <v>74</v>
      </c>
      <c r="H10" s="666"/>
      <c r="I10" s="666"/>
      <c r="J10" s="206" t="e">
        <f>#REF!</f>
        <v>#REF!</v>
      </c>
      <c r="K10" s="2" t="e">
        <f t="shared" si="1"/>
        <v>#REF!</v>
      </c>
      <c r="M10" s="116" t="s">
        <v>210</v>
      </c>
      <c r="P10" s="22">
        <v>100000</v>
      </c>
      <c r="R10" s="116" t="s">
        <v>74</v>
      </c>
      <c r="U10" s="22">
        <v>7459.0149999999994</v>
      </c>
    </row>
    <row r="11" spans="1:21" x14ac:dyDescent="0.25">
      <c r="A11" s="661" t="s">
        <v>100</v>
      </c>
      <c r="B11" s="662"/>
      <c r="C11" s="663"/>
      <c r="D11" s="664"/>
      <c r="E11" s="665"/>
      <c r="F11" s="2">
        <f t="shared" si="0"/>
        <v>0</v>
      </c>
      <c r="G11" s="666" t="s">
        <v>75</v>
      </c>
      <c r="H11" s="666"/>
      <c r="I11" s="666"/>
      <c r="J11" s="206" t="e">
        <f>#REF!</f>
        <v>#REF!</v>
      </c>
      <c r="K11" s="2" t="e">
        <f t="shared" si="1"/>
        <v>#REF!</v>
      </c>
      <c r="M11" s="116" t="s">
        <v>100</v>
      </c>
      <c r="P11" s="22"/>
      <c r="R11" s="116" t="s">
        <v>75</v>
      </c>
      <c r="U11" s="22">
        <v>2685.2453999999998</v>
      </c>
    </row>
    <row r="12" spans="1:21" x14ac:dyDescent="0.25">
      <c r="A12" s="624" t="s">
        <v>209</v>
      </c>
      <c r="B12" s="625"/>
      <c r="C12" s="626"/>
      <c r="D12" s="664" t="e">
        <f>#REF!</f>
        <v>#REF!</v>
      </c>
      <c r="E12" s="665"/>
      <c r="F12" s="2" t="e">
        <f t="shared" si="0"/>
        <v>#REF!</v>
      </c>
      <c r="G12" s="666" t="s">
        <v>94</v>
      </c>
      <c r="H12" s="666"/>
      <c r="I12" s="666"/>
      <c r="J12" s="206" t="e">
        <f>#REF!</f>
        <v>#REF!</v>
      </c>
      <c r="K12" s="2" t="e">
        <f t="shared" si="1"/>
        <v>#REF!</v>
      </c>
      <c r="M12" s="116" t="s">
        <v>209</v>
      </c>
      <c r="P12" s="22">
        <v>-3066.67</v>
      </c>
      <c r="R12" s="116" t="s">
        <v>94</v>
      </c>
      <c r="U12" s="22">
        <v>11224.325771999998</v>
      </c>
    </row>
    <row r="13" spans="1:21" x14ac:dyDescent="0.25">
      <c r="A13" s="624" t="s">
        <v>210</v>
      </c>
      <c r="B13" s="625"/>
      <c r="C13" s="626"/>
      <c r="D13" s="664" t="e">
        <f>#REF!</f>
        <v>#REF!</v>
      </c>
      <c r="E13" s="667"/>
      <c r="F13" s="2" t="e">
        <f t="shared" si="0"/>
        <v>#REF!</v>
      </c>
      <c r="G13" s="199"/>
      <c r="H13" s="199"/>
      <c r="I13" s="200"/>
      <c r="M13" s="116" t="s">
        <v>210</v>
      </c>
      <c r="P13" s="22">
        <v>-12777.78</v>
      </c>
      <c r="U13" s="22"/>
    </row>
    <row r="14" spans="1:21" x14ac:dyDescent="0.25">
      <c r="A14" s="661" t="s">
        <v>30</v>
      </c>
      <c r="B14" s="662"/>
      <c r="C14" s="663"/>
      <c r="D14" s="664" t="e">
        <f>#REF!</f>
        <v>#REF!</v>
      </c>
      <c r="E14" s="667"/>
      <c r="F14" s="2" t="e">
        <f t="shared" si="0"/>
        <v>#REF!</v>
      </c>
      <c r="G14" s="28"/>
      <c r="H14" s="28"/>
      <c r="I14" s="201"/>
      <c r="M14" s="116" t="s">
        <v>30</v>
      </c>
      <c r="P14" s="22">
        <v>2752.43</v>
      </c>
      <c r="U14" s="22"/>
    </row>
    <row r="15" spans="1:21" x14ac:dyDescent="0.25">
      <c r="A15" s="661" t="s">
        <v>48</v>
      </c>
      <c r="B15" s="662"/>
      <c r="C15" s="663"/>
      <c r="D15" s="664" t="e">
        <f>#REF!</f>
        <v>#REF!</v>
      </c>
      <c r="E15" s="667"/>
      <c r="F15" s="2" t="e">
        <f t="shared" si="0"/>
        <v>#REF!</v>
      </c>
      <c r="G15" s="28"/>
      <c r="H15" s="28"/>
      <c r="I15" s="201"/>
      <c r="M15" s="116" t="s">
        <v>48</v>
      </c>
      <c r="P15" s="22">
        <v>43750</v>
      </c>
      <c r="U15" s="22"/>
    </row>
    <row r="16" spans="1:21" x14ac:dyDescent="0.25">
      <c r="A16" s="678" t="s">
        <v>208</v>
      </c>
      <c r="B16" s="679"/>
      <c r="C16" s="680"/>
      <c r="D16" s="664" t="e">
        <f>#REF!</f>
        <v>#REF!</v>
      </c>
      <c r="E16" s="667"/>
      <c r="F16" s="2" t="e">
        <f t="shared" si="0"/>
        <v>#REF!</v>
      </c>
      <c r="G16" s="118"/>
      <c r="H16" s="118"/>
      <c r="I16" s="201"/>
      <c r="M16" s="116" t="s">
        <v>208</v>
      </c>
      <c r="P16" s="22">
        <v>-2108.12</v>
      </c>
      <c r="U16" s="22"/>
    </row>
    <row r="17" spans="1:21" x14ac:dyDescent="0.25">
      <c r="A17" s="661" t="s">
        <v>211</v>
      </c>
      <c r="B17" s="662"/>
      <c r="C17" s="663"/>
      <c r="D17" s="119"/>
      <c r="E17" s="200"/>
      <c r="F17" s="2">
        <f t="shared" si="0"/>
        <v>0</v>
      </c>
      <c r="G17" s="687" t="s">
        <v>102</v>
      </c>
      <c r="H17" s="687"/>
      <c r="I17" s="687"/>
      <c r="J17" s="206" t="e">
        <f>SUM(J7:J12)</f>
        <v>#REF!</v>
      </c>
      <c r="K17" s="2" t="e">
        <f>J17-U34</f>
        <v>#REF!</v>
      </c>
      <c r="M17" s="116" t="s">
        <v>211</v>
      </c>
      <c r="P17" s="22"/>
      <c r="U17" s="22"/>
    </row>
    <row r="18" spans="1:21" x14ac:dyDescent="0.25">
      <c r="A18" s="624" t="s">
        <v>212</v>
      </c>
      <c r="B18" s="625"/>
      <c r="C18" s="626"/>
      <c r="D18" s="664" t="e">
        <f>#REF!</f>
        <v>#REF!</v>
      </c>
      <c r="E18" s="667"/>
      <c r="F18" s="2" t="e">
        <f t="shared" si="0"/>
        <v>#REF!</v>
      </c>
      <c r="K18" s="2">
        <f t="shared" ref="K18:K28" si="2">J18-U35</f>
        <v>0</v>
      </c>
      <c r="M18" s="116" t="s">
        <v>212</v>
      </c>
      <c r="P18" s="22">
        <v>150</v>
      </c>
      <c r="U18" s="22"/>
    </row>
    <row r="19" spans="1:21" x14ac:dyDescent="0.25">
      <c r="A19" s="624" t="s">
        <v>213</v>
      </c>
      <c r="B19" s="625"/>
      <c r="C19" s="626"/>
      <c r="D19" s="664" t="e">
        <f>#REF!</f>
        <v>#REF!</v>
      </c>
      <c r="E19" s="667"/>
      <c r="F19" s="2" t="e">
        <f t="shared" si="0"/>
        <v>#REF!</v>
      </c>
      <c r="G19" s="688" t="s">
        <v>23</v>
      </c>
      <c r="H19" s="687"/>
      <c r="I19" s="687"/>
      <c r="J19" s="117"/>
      <c r="K19" s="2">
        <f t="shared" si="2"/>
        <v>0</v>
      </c>
      <c r="M19" s="116" t="s">
        <v>213</v>
      </c>
      <c r="P19" s="22">
        <v>1320</v>
      </c>
      <c r="U19" s="22"/>
    </row>
    <row r="20" spans="1:21" ht="15" customHeight="1" x14ac:dyDescent="0.25">
      <c r="A20" s="668" t="s">
        <v>214</v>
      </c>
      <c r="B20" s="669"/>
      <c r="C20" s="670"/>
      <c r="D20" s="674"/>
      <c r="E20" s="675"/>
      <c r="F20" s="2">
        <f t="shared" si="0"/>
        <v>0</v>
      </c>
      <c r="G20" s="666" t="s">
        <v>25</v>
      </c>
      <c r="H20" s="666"/>
      <c r="I20" s="666"/>
      <c r="J20" s="206" t="e">
        <f>#REF!</f>
        <v>#REF!</v>
      </c>
      <c r="K20" s="2" t="e">
        <f t="shared" si="2"/>
        <v>#REF!</v>
      </c>
      <c r="M20" s="116" t="s">
        <v>214</v>
      </c>
      <c r="P20" s="22"/>
      <c r="U20" s="22"/>
    </row>
    <row r="21" spans="1:21" x14ac:dyDescent="0.25">
      <c r="A21" s="671"/>
      <c r="B21" s="672"/>
      <c r="C21" s="673"/>
      <c r="D21" s="676"/>
      <c r="E21" s="677"/>
      <c r="F21" s="2">
        <f t="shared" si="0"/>
        <v>0</v>
      </c>
      <c r="G21" s="666" t="s">
        <v>26</v>
      </c>
      <c r="H21" s="666"/>
      <c r="I21" s="666"/>
      <c r="J21" s="206" t="e">
        <f>#REF!</f>
        <v>#REF!</v>
      </c>
      <c r="K21" s="2" t="e">
        <f t="shared" si="2"/>
        <v>#REF!</v>
      </c>
      <c r="P21" s="22"/>
      <c r="U21" s="22"/>
    </row>
    <row r="22" spans="1:21" x14ac:dyDescent="0.25">
      <c r="A22" s="691" t="s">
        <v>212</v>
      </c>
      <c r="B22" s="692"/>
      <c r="C22" s="693"/>
      <c r="D22" s="664" t="e">
        <f>#REF!</f>
        <v>#REF!</v>
      </c>
      <c r="E22" s="667"/>
      <c r="F22" s="2" t="e">
        <f t="shared" si="0"/>
        <v>#REF!</v>
      </c>
      <c r="G22" s="666" t="s">
        <v>88</v>
      </c>
      <c r="H22" s="666"/>
      <c r="I22" s="666"/>
      <c r="J22" s="206" t="e">
        <f>#REF!</f>
        <v>#REF!</v>
      </c>
      <c r="K22" s="2" t="e">
        <f t="shared" si="2"/>
        <v>#REF!</v>
      </c>
      <c r="M22" s="116" t="s">
        <v>212</v>
      </c>
      <c r="P22" s="22">
        <v>-30</v>
      </c>
      <c r="U22" s="22"/>
    </row>
    <row r="23" spans="1:21" x14ac:dyDescent="0.25">
      <c r="A23" s="681" t="s">
        <v>213</v>
      </c>
      <c r="B23" s="682"/>
      <c r="C23" s="683"/>
      <c r="D23" s="664" t="e">
        <f>#REF!</f>
        <v>#REF!</v>
      </c>
      <c r="E23" s="667"/>
      <c r="F23" s="2" t="e">
        <f t="shared" si="0"/>
        <v>#REF!</v>
      </c>
      <c r="G23" s="666" t="s">
        <v>221</v>
      </c>
      <c r="H23" s="666"/>
      <c r="I23" s="666"/>
      <c r="J23" s="206" t="e">
        <f>#REF!</f>
        <v>#REF!</v>
      </c>
      <c r="K23" s="2" t="e">
        <f t="shared" si="2"/>
        <v>#REF!</v>
      </c>
      <c r="M23" s="116" t="s">
        <v>213</v>
      </c>
      <c r="P23" s="22">
        <v>-110</v>
      </c>
      <c r="U23" s="22"/>
    </row>
    <row r="24" spans="1:21" x14ac:dyDescent="0.25">
      <c r="A24" s="684" t="s">
        <v>215</v>
      </c>
      <c r="B24" s="685"/>
      <c r="C24" s="686"/>
      <c r="D24" s="119"/>
      <c r="E24" s="200"/>
      <c r="F24" s="2">
        <f t="shared" si="0"/>
        <v>0</v>
      </c>
      <c r="G24" s="666" t="s">
        <v>95</v>
      </c>
      <c r="H24" s="666"/>
      <c r="I24" s="666"/>
      <c r="J24" s="206" t="e">
        <f>#REF!</f>
        <v>#REF!</v>
      </c>
      <c r="K24" s="2" t="e">
        <f t="shared" si="2"/>
        <v>#REF!</v>
      </c>
      <c r="M24" s="116" t="s">
        <v>215</v>
      </c>
      <c r="P24" s="22"/>
      <c r="U24" s="22"/>
    </row>
    <row r="25" spans="1:21" ht="15" customHeight="1" x14ac:dyDescent="0.25">
      <c r="A25" s="681" t="s">
        <v>216</v>
      </c>
      <c r="B25" s="682"/>
      <c r="C25" s="683"/>
      <c r="D25" s="664" t="e">
        <f>#REF!</f>
        <v>#REF!</v>
      </c>
      <c r="E25" s="667"/>
      <c r="F25" s="2" t="e">
        <f t="shared" si="0"/>
        <v>#REF!</v>
      </c>
      <c r="G25" s="120"/>
      <c r="H25" s="120"/>
      <c r="I25" s="120"/>
      <c r="J25" s="2"/>
      <c r="K25" s="2">
        <f t="shared" si="2"/>
        <v>0</v>
      </c>
      <c r="M25" s="116" t="s">
        <v>216</v>
      </c>
      <c r="P25" s="22">
        <v>1200</v>
      </c>
      <c r="U25" s="22"/>
    </row>
    <row r="26" spans="1:21" x14ac:dyDescent="0.25">
      <c r="A26" s="681" t="s">
        <v>217</v>
      </c>
      <c r="B26" s="682"/>
      <c r="C26" s="683"/>
      <c r="D26" s="664" t="e">
        <f>#REF!</f>
        <v>#REF!</v>
      </c>
      <c r="E26" s="667"/>
      <c r="F26" s="2" t="e">
        <f t="shared" si="0"/>
        <v>#REF!</v>
      </c>
      <c r="G26" s="687" t="s">
        <v>103</v>
      </c>
      <c r="H26" s="687"/>
      <c r="I26" s="687"/>
      <c r="J26" s="206" t="e">
        <f>SUM(J20:J24)</f>
        <v>#REF!</v>
      </c>
      <c r="K26" s="2" t="e">
        <f t="shared" si="2"/>
        <v>#REF!</v>
      </c>
      <c r="M26" s="116" t="s">
        <v>217</v>
      </c>
      <c r="P26" s="22">
        <v>4800</v>
      </c>
      <c r="U26" s="22"/>
    </row>
    <row r="27" spans="1:21" x14ac:dyDescent="0.25">
      <c r="A27" s="681" t="s">
        <v>218</v>
      </c>
      <c r="B27" s="682"/>
      <c r="C27" s="683"/>
      <c r="D27" s="664" t="e">
        <f>#REF!</f>
        <v>#REF!</v>
      </c>
      <c r="E27" s="667"/>
      <c r="F27" s="2" t="e">
        <f t="shared" si="0"/>
        <v>#REF!</v>
      </c>
      <c r="G27" s="120"/>
      <c r="H27" s="120"/>
      <c r="I27" s="120"/>
      <c r="J27" s="2"/>
      <c r="K27" s="2">
        <f t="shared" si="2"/>
        <v>0</v>
      </c>
      <c r="M27" s="116" t="s">
        <v>218</v>
      </c>
      <c r="P27" s="22">
        <v>7500</v>
      </c>
      <c r="U27" s="22"/>
    </row>
    <row r="28" spans="1:21" ht="15" customHeight="1" x14ac:dyDescent="0.25">
      <c r="A28" s="668" t="s">
        <v>219</v>
      </c>
      <c r="B28" s="669"/>
      <c r="C28" s="670"/>
      <c r="D28" s="697" t="e">
        <f>#REF!</f>
        <v>#REF!</v>
      </c>
      <c r="E28" s="698"/>
      <c r="F28" s="2" t="e">
        <f t="shared" si="0"/>
        <v>#REF!</v>
      </c>
      <c r="G28" s="687" t="s">
        <v>104</v>
      </c>
      <c r="H28" s="687"/>
      <c r="I28" s="687"/>
      <c r="J28" s="206" t="e">
        <f>J26+J17</f>
        <v>#REF!</v>
      </c>
      <c r="K28" s="2" t="e">
        <f t="shared" si="2"/>
        <v>#REF!</v>
      </c>
      <c r="M28" s="116" t="s">
        <v>219</v>
      </c>
      <c r="P28" s="22">
        <v>8500</v>
      </c>
      <c r="U28" s="22"/>
    </row>
    <row r="29" spans="1:21" ht="15" customHeight="1" x14ac:dyDescent="0.25">
      <c r="A29" s="671"/>
      <c r="B29" s="672"/>
      <c r="C29" s="673"/>
      <c r="D29" s="699"/>
      <c r="E29" s="700"/>
      <c r="F29" s="2">
        <f t="shared" si="0"/>
        <v>0</v>
      </c>
      <c r="G29" s="118"/>
      <c r="H29" s="118"/>
      <c r="I29" s="201"/>
      <c r="P29" s="22"/>
      <c r="U29" s="22"/>
    </row>
    <row r="30" spans="1:21" ht="15" customHeight="1" x14ac:dyDescent="0.25">
      <c r="A30" s="684" t="s">
        <v>220</v>
      </c>
      <c r="B30" s="685"/>
      <c r="C30" s="686"/>
      <c r="D30" s="689" t="e">
        <f>#REF!</f>
        <v>#REF!</v>
      </c>
      <c r="E30" s="690"/>
      <c r="F30" s="2" t="e">
        <f t="shared" si="0"/>
        <v>#REF!</v>
      </c>
      <c r="G30" s="118"/>
      <c r="H30" s="118"/>
      <c r="I30" s="201"/>
      <c r="M30" s="116" t="s">
        <v>220</v>
      </c>
      <c r="P30" s="22">
        <v>81666.66</v>
      </c>
      <c r="U30" s="22"/>
    </row>
    <row r="31" spans="1:21" ht="15" customHeight="1" x14ac:dyDescent="0.25">
      <c r="A31" s="691" t="s">
        <v>40</v>
      </c>
      <c r="B31" s="692"/>
      <c r="C31" s="693"/>
      <c r="D31" s="674" t="e">
        <f>#REF!</f>
        <v>#REF!</v>
      </c>
      <c r="E31" s="675"/>
      <c r="F31" s="2" t="e">
        <f t="shared" si="0"/>
        <v>#REF!</v>
      </c>
      <c r="G31" s="28"/>
      <c r="H31" s="28"/>
      <c r="I31" s="201"/>
      <c r="M31" s="116" t="s">
        <v>40</v>
      </c>
      <c r="P31" s="22">
        <v>600</v>
      </c>
      <c r="U31" s="22"/>
    </row>
    <row r="32" spans="1:21" x14ac:dyDescent="0.25">
      <c r="A32" s="694"/>
      <c r="B32" s="695"/>
      <c r="C32" s="696"/>
      <c r="D32" s="676"/>
      <c r="E32" s="677"/>
      <c r="F32" s="2">
        <f t="shared" si="0"/>
        <v>0</v>
      </c>
      <c r="G32" s="28"/>
      <c r="H32" s="28"/>
      <c r="I32" s="201"/>
      <c r="P32" s="22"/>
      <c r="U32" s="22"/>
    </row>
    <row r="33" spans="1:21" x14ac:dyDescent="0.25">
      <c r="D33" s="2"/>
      <c r="E33" s="2"/>
      <c r="F33" s="2">
        <f t="shared" si="0"/>
        <v>0</v>
      </c>
      <c r="P33" s="22"/>
      <c r="U33" s="22"/>
    </row>
    <row r="34" spans="1:21" x14ac:dyDescent="0.25">
      <c r="A34" s="624" t="s">
        <v>101</v>
      </c>
      <c r="B34" s="625"/>
      <c r="C34" s="626"/>
      <c r="D34" s="664" t="e">
        <f>SUM(D7:E32)</f>
        <v>#REF!</v>
      </c>
      <c r="E34" s="665"/>
      <c r="F34" s="2" t="e">
        <f t="shared" si="0"/>
        <v>#REF!</v>
      </c>
      <c r="M34" s="116" t="s">
        <v>101</v>
      </c>
      <c r="P34" s="22">
        <v>616200.36</v>
      </c>
      <c r="R34" s="116" t="s">
        <v>102</v>
      </c>
      <c r="U34" s="22">
        <v>43217.496171999999</v>
      </c>
    </row>
    <row r="35" spans="1:21" x14ac:dyDescent="0.25">
      <c r="D35" s="2"/>
      <c r="E35" s="2"/>
      <c r="U35" s="22"/>
    </row>
    <row r="36" spans="1:21" x14ac:dyDescent="0.25">
      <c r="D36" s="2"/>
      <c r="E36" s="2"/>
      <c r="R36" s="116" t="s">
        <v>23</v>
      </c>
      <c r="U36" s="22"/>
    </row>
    <row r="37" spans="1:21" x14ac:dyDescent="0.25">
      <c r="D37" s="2"/>
      <c r="E37" s="2"/>
      <c r="R37" s="116" t="s">
        <v>25</v>
      </c>
      <c r="U37" s="22">
        <v>500000</v>
      </c>
    </row>
    <row r="38" spans="1:21" x14ac:dyDescent="0.25">
      <c r="D38" s="2"/>
      <c r="E38" s="2"/>
      <c r="R38" s="116" t="s">
        <v>26</v>
      </c>
      <c r="U38" s="22">
        <v>50000</v>
      </c>
    </row>
    <row r="39" spans="1:21" x14ac:dyDescent="0.25">
      <c r="D39" s="2"/>
      <c r="E39" s="2"/>
      <c r="R39" s="116" t="s">
        <v>88</v>
      </c>
      <c r="U39" s="22">
        <v>2672.4299799999999</v>
      </c>
    </row>
    <row r="40" spans="1:21" x14ac:dyDescent="0.25">
      <c r="D40" s="2"/>
      <c r="E40" s="2"/>
      <c r="R40" s="116" t="s">
        <v>221</v>
      </c>
      <c r="U40" s="22">
        <v>1870.7209619999999</v>
      </c>
    </row>
    <row r="41" spans="1:21" x14ac:dyDescent="0.25">
      <c r="D41" s="2"/>
      <c r="E41" s="2"/>
      <c r="R41" s="116" t="s">
        <v>95</v>
      </c>
      <c r="U41" s="22">
        <v>18439.712886000016</v>
      </c>
    </row>
    <row r="42" spans="1:21" x14ac:dyDescent="0.25">
      <c r="D42" s="2"/>
      <c r="E42" s="2"/>
      <c r="U42" s="22"/>
    </row>
    <row r="43" spans="1:21" x14ac:dyDescent="0.25">
      <c r="D43" s="2"/>
      <c r="E43" s="2"/>
      <c r="R43" s="116" t="s">
        <v>103</v>
      </c>
      <c r="U43" s="22">
        <v>572982.86382800003</v>
      </c>
    </row>
    <row r="44" spans="1:21" x14ac:dyDescent="0.25">
      <c r="D44" s="2"/>
      <c r="E44" s="2"/>
      <c r="U44" s="22"/>
    </row>
    <row r="45" spans="1:21" x14ac:dyDescent="0.25">
      <c r="R45" s="116" t="s">
        <v>104</v>
      </c>
      <c r="U45" s="22">
        <v>616200.36</v>
      </c>
    </row>
    <row r="46" spans="1:21" x14ac:dyDescent="0.25">
      <c r="F46" s="120"/>
      <c r="G46" s="120"/>
      <c r="H46" s="120"/>
    </row>
    <row r="47" spans="1:21" x14ac:dyDescent="0.25">
      <c r="F47" s="120"/>
      <c r="G47" s="120"/>
      <c r="H47" s="120"/>
    </row>
    <row r="50" spans="7:20" x14ac:dyDescent="0.25">
      <c r="G50" s="68" t="s">
        <v>105</v>
      </c>
      <c r="H50" s="69" t="e">
        <f>D34-J28</f>
        <v>#REF!</v>
      </c>
      <c r="S50" s="116" t="s">
        <v>105</v>
      </c>
      <c r="T50" s="116">
        <v>0</v>
      </c>
    </row>
  </sheetData>
  <mergeCells count="67">
    <mergeCell ref="G28:I28"/>
    <mergeCell ref="G23:I23"/>
    <mergeCell ref="G24:I24"/>
    <mergeCell ref="G26:I26"/>
    <mergeCell ref="G20:I20"/>
    <mergeCell ref="G21:I21"/>
    <mergeCell ref="G22:I22"/>
    <mergeCell ref="A34:C34"/>
    <mergeCell ref="D34:E34"/>
    <mergeCell ref="G17:I17"/>
    <mergeCell ref="G19:I19"/>
    <mergeCell ref="A30:C30"/>
    <mergeCell ref="D30:E30"/>
    <mergeCell ref="A31:C32"/>
    <mergeCell ref="D31:E32"/>
    <mergeCell ref="A26:C26"/>
    <mergeCell ref="D26:E26"/>
    <mergeCell ref="A27:C27"/>
    <mergeCell ref="D27:E27"/>
    <mergeCell ref="A28:C29"/>
    <mergeCell ref="D28:E29"/>
    <mergeCell ref="A22:C22"/>
    <mergeCell ref="D22:E22"/>
    <mergeCell ref="A23:C23"/>
    <mergeCell ref="D23:E23"/>
    <mergeCell ref="A24:C24"/>
    <mergeCell ref="A25:C25"/>
    <mergeCell ref="D25:E25"/>
    <mergeCell ref="A20:C21"/>
    <mergeCell ref="D20:E21"/>
    <mergeCell ref="A15:C15"/>
    <mergeCell ref="D15:E15"/>
    <mergeCell ref="A16:C16"/>
    <mergeCell ref="D16:E16"/>
    <mergeCell ref="A17:C17"/>
    <mergeCell ref="A18:C18"/>
    <mergeCell ref="D18:E18"/>
    <mergeCell ref="A19:C19"/>
    <mergeCell ref="D19:E19"/>
    <mergeCell ref="A13:C13"/>
    <mergeCell ref="D13:E13"/>
    <mergeCell ref="A14:C14"/>
    <mergeCell ref="D14:E14"/>
    <mergeCell ref="A11:C11"/>
    <mergeCell ref="D11:E11"/>
    <mergeCell ref="G11:I11"/>
    <mergeCell ref="A12:C12"/>
    <mergeCell ref="D12:E12"/>
    <mergeCell ref="G12:I12"/>
    <mergeCell ref="A9:C9"/>
    <mergeCell ref="D9:E9"/>
    <mergeCell ref="G9:I9"/>
    <mergeCell ref="A10:C10"/>
    <mergeCell ref="D10:E10"/>
    <mergeCell ref="G10:I10"/>
    <mergeCell ref="A7:C7"/>
    <mergeCell ref="D7:E7"/>
    <mergeCell ref="G7:I7"/>
    <mergeCell ref="A8:C8"/>
    <mergeCell ref="D8:E8"/>
    <mergeCell ref="G8:I8"/>
    <mergeCell ref="C2:I2"/>
    <mergeCell ref="C3:I3"/>
    <mergeCell ref="C4:I4"/>
    <mergeCell ref="A6:C6"/>
    <mergeCell ref="D6:E6"/>
    <mergeCell ref="G6:I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showGridLines="0" topLeftCell="J35" zoomScale="200" zoomScaleNormal="200" workbookViewId="0">
      <selection activeCell="P42" sqref="P42"/>
    </sheetView>
  </sheetViews>
  <sheetFormatPr defaultColWidth="9.140625" defaultRowHeight="15" x14ac:dyDescent="0.25"/>
  <cols>
    <col min="1" max="1" width="1.140625" style="238" customWidth="1"/>
    <col min="2" max="2" width="43.7109375" style="352" customWidth="1"/>
    <col min="3" max="3" width="18.5703125" style="352" customWidth="1"/>
    <col min="4" max="4" width="1.42578125" style="352" customWidth="1"/>
    <col min="5" max="5" width="6.7109375" style="352" customWidth="1"/>
    <col min="6" max="6" width="9.7109375" style="456" customWidth="1"/>
    <col min="7" max="7" width="11.5703125" style="352" hidden="1" customWidth="1"/>
    <col min="8" max="8" width="12.140625" style="352" hidden="1" customWidth="1"/>
    <col min="9" max="9" width="11.5703125" style="352" hidden="1" customWidth="1"/>
    <col min="10" max="10" width="1.28515625" style="352" customWidth="1"/>
    <col min="11" max="11" width="45.28515625" style="352" customWidth="1"/>
    <col min="12" max="12" width="17.42578125" style="352" customWidth="1"/>
    <col min="13" max="13" width="9.28515625" style="352" customWidth="1"/>
    <col min="14" max="15" width="1" style="352" customWidth="1"/>
    <col min="16" max="16" width="8.5703125" style="352" customWidth="1"/>
    <col min="17" max="18" width="11.5703125" style="352" hidden="1" customWidth="1"/>
    <col min="19" max="19" width="2.28515625" style="352" customWidth="1"/>
    <col min="20" max="20" width="10.7109375" style="238" bestFit="1" customWidth="1"/>
    <col min="21" max="263" width="9.140625" style="238"/>
    <col min="264" max="264" width="43.42578125" style="238" customWidth="1"/>
    <col min="265" max="265" width="13.85546875" style="238" bestFit="1" customWidth="1"/>
    <col min="266" max="269" width="11.5703125" style="238" customWidth="1"/>
    <col min="270" max="270" width="31.42578125" style="238" bestFit="1" customWidth="1"/>
    <col min="271" max="271" width="14.7109375" style="238" customWidth="1"/>
    <col min="272" max="275" width="11.5703125" style="238" customWidth="1"/>
    <col min="276" max="276" width="10.7109375" style="238" bestFit="1" customWidth="1"/>
    <col min="277" max="519" width="9.140625" style="238"/>
    <col min="520" max="520" width="43.42578125" style="238" customWidth="1"/>
    <col min="521" max="521" width="13.85546875" style="238" bestFit="1" customWidth="1"/>
    <col min="522" max="525" width="11.5703125" style="238" customWidth="1"/>
    <col min="526" max="526" width="31.42578125" style="238" bestFit="1" customWidth="1"/>
    <col min="527" max="527" width="14.7109375" style="238" customWidth="1"/>
    <col min="528" max="531" width="11.5703125" style="238" customWidth="1"/>
    <col min="532" max="532" width="10.7109375" style="238" bestFit="1" customWidth="1"/>
    <col min="533" max="775" width="9.140625" style="238"/>
    <col min="776" max="776" width="43.42578125" style="238" customWidth="1"/>
    <col min="777" max="777" width="13.85546875" style="238" bestFit="1" customWidth="1"/>
    <col min="778" max="781" width="11.5703125" style="238" customWidth="1"/>
    <col min="782" max="782" width="31.42578125" style="238" bestFit="1" customWidth="1"/>
    <col min="783" max="783" width="14.7109375" style="238" customWidth="1"/>
    <col min="784" max="787" width="11.5703125" style="238" customWidth="1"/>
    <col min="788" max="788" width="10.7109375" style="238" bestFit="1" customWidth="1"/>
    <col min="789" max="1031" width="9.140625" style="238"/>
    <col min="1032" max="1032" width="43.42578125" style="238" customWidth="1"/>
    <col min="1033" max="1033" width="13.85546875" style="238" bestFit="1" customWidth="1"/>
    <col min="1034" max="1037" width="11.5703125" style="238" customWidth="1"/>
    <col min="1038" max="1038" width="31.42578125" style="238" bestFit="1" customWidth="1"/>
    <col min="1039" max="1039" width="14.7109375" style="238" customWidth="1"/>
    <col min="1040" max="1043" width="11.5703125" style="238" customWidth="1"/>
    <col min="1044" max="1044" width="10.7109375" style="238" bestFit="1" customWidth="1"/>
    <col min="1045" max="1287" width="9.140625" style="238"/>
    <col min="1288" max="1288" width="43.42578125" style="238" customWidth="1"/>
    <col min="1289" max="1289" width="13.85546875" style="238" bestFit="1" customWidth="1"/>
    <col min="1290" max="1293" width="11.5703125" style="238" customWidth="1"/>
    <col min="1294" max="1294" width="31.42578125" style="238" bestFit="1" customWidth="1"/>
    <col min="1295" max="1295" width="14.7109375" style="238" customWidth="1"/>
    <col min="1296" max="1299" width="11.5703125" style="238" customWidth="1"/>
    <col min="1300" max="1300" width="10.7109375" style="238" bestFit="1" customWidth="1"/>
    <col min="1301" max="1543" width="9.140625" style="238"/>
    <col min="1544" max="1544" width="43.42578125" style="238" customWidth="1"/>
    <col min="1545" max="1545" width="13.85546875" style="238" bestFit="1" customWidth="1"/>
    <col min="1546" max="1549" width="11.5703125" style="238" customWidth="1"/>
    <col min="1550" max="1550" width="31.42578125" style="238" bestFit="1" customWidth="1"/>
    <col min="1551" max="1551" width="14.7109375" style="238" customWidth="1"/>
    <col min="1552" max="1555" width="11.5703125" style="238" customWidth="1"/>
    <col min="1556" max="1556" width="10.7109375" style="238" bestFit="1" customWidth="1"/>
    <col min="1557" max="1799" width="9.140625" style="238"/>
    <col min="1800" max="1800" width="43.42578125" style="238" customWidth="1"/>
    <col min="1801" max="1801" width="13.85546875" style="238" bestFit="1" customWidth="1"/>
    <col min="1802" max="1805" width="11.5703125" style="238" customWidth="1"/>
    <col min="1806" max="1806" width="31.42578125" style="238" bestFit="1" customWidth="1"/>
    <col min="1807" max="1807" width="14.7109375" style="238" customWidth="1"/>
    <col min="1808" max="1811" width="11.5703125" style="238" customWidth="1"/>
    <col min="1812" max="1812" width="10.7109375" style="238" bestFit="1" customWidth="1"/>
    <col min="1813" max="2055" width="9.140625" style="238"/>
    <col min="2056" max="2056" width="43.42578125" style="238" customWidth="1"/>
    <col min="2057" max="2057" width="13.85546875" style="238" bestFit="1" customWidth="1"/>
    <col min="2058" max="2061" width="11.5703125" style="238" customWidth="1"/>
    <col min="2062" max="2062" width="31.42578125" style="238" bestFit="1" customWidth="1"/>
    <col min="2063" max="2063" width="14.7109375" style="238" customWidth="1"/>
    <col min="2064" max="2067" width="11.5703125" style="238" customWidth="1"/>
    <col min="2068" max="2068" width="10.7109375" style="238" bestFit="1" customWidth="1"/>
    <col min="2069" max="2311" width="9.140625" style="238"/>
    <col min="2312" max="2312" width="43.42578125" style="238" customWidth="1"/>
    <col min="2313" max="2313" width="13.85546875" style="238" bestFit="1" customWidth="1"/>
    <col min="2314" max="2317" width="11.5703125" style="238" customWidth="1"/>
    <col min="2318" max="2318" width="31.42578125" style="238" bestFit="1" customWidth="1"/>
    <col min="2319" max="2319" width="14.7109375" style="238" customWidth="1"/>
    <col min="2320" max="2323" width="11.5703125" style="238" customWidth="1"/>
    <col min="2324" max="2324" width="10.7109375" style="238" bestFit="1" customWidth="1"/>
    <col min="2325" max="2567" width="9.140625" style="238"/>
    <col min="2568" max="2568" width="43.42578125" style="238" customWidth="1"/>
    <col min="2569" max="2569" width="13.85546875" style="238" bestFit="1" customWidth="1"/>
    <col min="2570" max="2573" width="11.5703125" style="238" customWidth="1"/>
    <col min="2574" max="2574" width="31.42578125" style="238" bestFit="1" customWidth="1"/>
    <col min="2575" max="2575" width="14.7109375" style="238" customWidth="1"/>
    <col min="2576" max="2579" width="11.5703125" style="238" customWidth="1"/>
    <col min="2580" max="2580" width="10.7109375" style="238" bestFit="1" customWidth="1"/>
    <col min="2581" max="2823" width="9.140625" style="238"/>
    <col min="2824" max="2824" width="43.42578125" style="238" customWidth="1"/>
    <col min="2825" max="2825" width="13.85546875" style="238" bestFit="1" customWidth="1"/>
    <col min="2826" max="2829" width="11.5703125" style="238" customWidth="1"/>
    <col min="2830" max="2830" width="31.42578125" style="238" bestFit="1" customWidth="1"/>
    <col min="2831" max="2831" width="14.7109375" style="238" customWidth="1"/>
    <col min="2832" max="2835" width="11.5703125" style="238" customWidth="1"/>
    <col min="2836" max="2836" width="10.7109375" style="238" bestFit="1" customWidth="1"/>
    <col min="2837" max="3079" width="9.140625" style="238"/>
    <col min="3080" max="3080" width="43.42578125" style="238" customWidth="1"/>
    <col min="3081" max="3081" width="13.85546875" style="238" bestFit="1" customWidth="1"/>
    <col min="3082" max="3085" width="11.5703125" style="238" customWidth="1"/>
    <col min="3086" max="3086" width="31.42578125" style="238" bestFit="1" customWidth="1"/>
    <col min="3087" max="3087" width="14.7109375" style="238" customWidth="1"/>
    <col min="3088" max="3091" width="11.5703125" style="238" customWidth="1"/>
    <col min="3092" max="3092" width="10.7109375" style="238" bestFit="1" customWidth="1"/>
    <col min="3093" max="3335" width="9.140625" style="238"/>
    <col min="3336" max="3336" width="43.42578125" style="238" customWidth="1"/>
    <col min="3337" max="3337" width="13.85546875" style="238" bestFit="1" customWidth="1"/>
    <col min="3338" max="3341" width="11.5703125" style="238" customWidth="1"/>
    <col min="3342" max="3342" width="31.42578125" style="238" bestFit="1" customWidth="1"/>
    <col min="3343" max="3343" width="14.7109375" style="238" customWidth="1"/>
    <col min="3344" max="3347" width="11.5703125" style="238" customWidth="1"/>
    <col min="3348" max="3348" width="10.7109375" style="238" bestFit="1" customWidth="1"/>
    <col min="3349" max="3591" width="9.140625" style="238"/>
    <col min="3592" max="3592" width="43.42578125" style="238" customWidth="1"/>
    <col min="3593" max="3593" width="13.85546875" style="238" bestFit="1" customWidth="1"/>
    <col min="3594" max="3597" width="11.5703125" style="238" customWidth="1"/>
    <col min="3598" max="3598" width="31.42578125" style="238" bestFit="1" customWidth="1"/>
    <col min="3599" max="3599" width="14.7109375" style="238" customWidth="1"/>
    <col min="3600" max="3603" width="11.5703125" style="238" customWidth="1"/>
    <col min="3604" max="3604" width="10.7109375" style="238" bestFit="1" customWidth="1"/>
    <col min="3605" max="3847" width="9.140625" style="238"/>
    <col min="3848" max="3848" width="43.42578125" style="238" customWidth="1"/>
    <col min="3849" max="3849" width="13.85546875" style="238" bestFit="1" customWidth="1"/>
    <col min="3850" max="3853" width="11.5703125" style="238" customWidth="1"/>
    <col min="3854" max="3854" width="31.42578125" style="238" bestFit="1" customWidth="1"/>
    <col min="3855" max="3855" width="14.7109375" style="238" customWidth="1"/>
    <col min="3856" max="3859" width="11.5703125" style="238" customWidth="1"/>
    <col min="3860" max="3860" width="10.7109375" style="238" bestFit="1" customWidth="1"/>
    <col min="3861" max="4103" width="9.140625" style="238"/>
    <col min="4104" max="4104" width="43.42578125" style="238" customWidth="1"/>
    <col min="4105" max="4105" width="13.85546875" style="238" bestFit="1" customWidth="1"/>
    <col min="4106" max="4109" width="11.5703125" style="238" customWidth="1"/>
    <col min="4110" max="4110" width="31.42578125" style="238" bestFit="1" customWidth="1"/>
    <col min="4111" max="4111" width="14.7109375" style="238" customWidth="1"/>
    <col min="4112" max="4115" width="11.5703125" style="238" customWidth="1"/>
    <col min="4116" max="4116" width="10.7109375" style="238" bestFit="1" customWidth="1"/>
    <col min="4117" max="4359" width="9.140625" style="238"/>
    <col min="4360" max="4360" width="43.42578125" style="238" customWidth="1"/>
    <col min="4361" max="4361" width="13.85546875" style="238" bestFit="1" customWidth="1"/>
    <col min="4362" max="4365" width="11.5703125" style="238" customWidth="1"/>
    <col min="4366" max="4366" width="31.42578125" style="238" bestFit="1" customWidth="1"/>
    <col min="4367" max="4367" width="14.7109375" style="238" customWidth="1"/>
    <col min="4368" max="4371" width="11.5703125" style="238" customWidth="1"/>
    <col min="4372" max="4372" width="10.7109375" style="238" bestFit="1" customWidth="1"/>
    <col min="4373" max="4615" width="9.140625" style="238"/>
    <col min="4616" max="4616" width="43.42578125" style="238" customWidth="1"/>
    <col min="4617" max="4617" width="13.85546875" style="238" bestFit="1" customWidth="1"/>
    <col min="4618" max="4621" width="11.5703125" style="238" customWidth="1"/>
    <col min="4622" max="4622" width="31.42578125" style="238" bestFit="1" customWidth="1"/>
    <col min="4623" max="4623" width="14.7109375" style="238" customWidth="1"/>
    <col min="4624" max="4627" width="11.5703125" style="238" customWidth="1"/>
    <col min="4628" max="4628" width="10.7109375" style="238" bestFit="1" customWidth="1"/>
    <col min="4629" max="4871" width="9.140625" style="238"/>
    <col min="4872" max="4872" width="43.42578125" style="238" customWidth="1"/>
    <col min="4873" max="4873" width="13.85546875" style="238" bestFit="1" customWidth="1"/>
    <col min="4874" max="4877" width="11.5703125" style="238" customWidth="1"/>
    <col min="4878" max="4878" width="31.42578125" style="238" bestFit="1" customWidth="1"/>
    <col min="4879" max="4879" width="14.7109375" style="238" customWidth="1"/>
    <col min="4880" max="4883" width="11.5703125" style="238" customWidth="1"/>
    <col min="4884" max="4884" width="10.7109375" style="238" bestFit="1" customWidth="1"/>
    <col min="4885" max="5127" width="9.140625" style="238"/>
    <col min="5128" max="5128" width="43.42578125" style="238" customWidth="1"/>
    <col min="5129" max="5129" width="13.85546875" style="238" bestFit="1" customWidth="1"/>
    <col min="5130" max="5133" width="11.5703125" style="238" customWidth="1"/>
    <col min="5134" max="5134" width="31.42578125" style="238" bestFit="1" customWidth="1"/>
    <col min="5135" max="5135" width="14.7109375" style="238" customWidth="1"/>
    <col min="5136" max="5139" width="11.5703125" style="238" customWidth="1"/>
    <col min="5140" max="5140" width="10.7109375" style="238" bestFit="1" customWidth="1"/>
    <col min="5141" max="5383" width="9.140625" style="238"/>
    <col min="5384" max="5384" width="43.42578125" style="238" customWidth="1"/>
    <col min="5385" max="5385" width="13.85546875" style="238" bestFit="1" customWidth="1"/>
    <col min="5386" max="5389" width="11.5703125" style="238" customWidth="1"/>
    <col min="5390" max="5390" width="31.42578125" style="238" bestFit="1" customWidth="1"/>
    <col min="5391" max="5391" width="14.7109375" style="238" customWidth="1"/>
    <col min="5392" max="5395" width="11.5703125" style="238" customWidth="1"/>
    <col min="5396" max="5396" width="10.7109375" style="238" bestFit="1" customWidth="1"/>
    <col min="5397" max="5639" width="9.140625" style="238"/>
    <col min="5640" max="5640" width="43.42578125" style="238" customWidth="1"/>
    <col min="5641" max="5641" width="13.85546875" style="238" bestFit="1" customWidth="1"/>
    <col min="5642" max="5645" width="11.5703125" style="238" customWidth="1"/>
    <col min="5646" max="5646" width="31.42578125" style="238" bestFit="1" customWidth="1"/>
    <col min="5647" max="5647" width="14.7109375" style="238" customWidth="1"/>
    <col min="5648" max="5651" width="11.5703125" style="238" customWidth="1"/>
    <col min="5652" max="5652" width="10.7109375" style="238" bestFit="1" customWidth="1"/>
    <col min="5653" max="5895" width="9.140625" style="238"/>
    <col min="5896" max="5896" width="43.42578125" style="238" customWidth="1"/>
    <col min="5897" max="5897" width="13.85546875" style="238" bestFit="1" customWidth="1"/>
    <col min="5898" max="5901" width="11.5703125" style="238" customWidth="1"/>
    <col min="5902" max="5902" width="31.42578125" style="238" bestFit="1" customWidth="1"/>
    <col min="5903" max="5903" width="14.7109375" style="238" customWidth="1"/>
    <col min="5904" max="5907" width="11.5703125" style="238" customWidth="1"/>
    <col min="5908" max="5908" width="10.7109375" style="238" bestFit="1" customWidth="1"/>
    <col min="5909" max="6151" width="9.140625" style="238"/>
    <col min="6152" max="6152" width="43.42578125" style="238" customWidth="1"/>
    <col min="6153" max="6153" width="13.85546875" style="238" bestFit="1" customWidth="1"/>
    <col min="6154" max="6157" width="11.5703125" style="238" customWidth="1"/>
    <col min="6158" max="6158" width="31.42578125" style="238" bestFit="1" customWidth="1"/>
    <col min="6159" max="6159" width="14.7109375" style="238" customWidth="1"/>
    <col min="6160" max="6163" width="11.5703125" style="238" customWidth="1"/>
    <col min="6164" max="6164" width="10.7109375" style="238" bestFit="1" customWidth="1"/>
    <col min="6165" max="6407" width="9.140625" style="238"/>
    <col min="6408" max="6408" width="43.42578125" style="238" customWidth="1"/>
    <col min="6409" max="6409" width="13.85546875" style="238" bestFit="1" customWidth="1"/>
    <col min="6410" max="6413" width="11.5703125" style="238" customWidth="1"/>
    <col min="6414" max="6414" width="31.42578125" style="238" bestFit="1" customWidth="1"/>
    <col min="6415" max="6415" width="14.7109375" style="238" customWidth="1"/>
    <col min="6416" max="6419" width="11.5703125" style="238" customWidth="1"/>
    <col min="6420" max="6420" width="10.7109375" style="238" bestFit="1" customWidth="1"/>
    <col min="6421" max="6663" width="9.140625" style="238"/>
    <col min="6664" max="6664" width="43.42578125" style="238" customWidth="1"/>
    <col min="6665" max="6665" width="13.85546875" style="238" bestFit="1" customWidth="1"/>
    <col min="6666" max="6669" width="11.5703125" style="238" customWidth="1"/>
    <col min="6670" max="6670" width="31.42578125" style="238" bestFit="1" customWidth="1"/>
    <col min="6671" max="6671" width="14.7109375" style="238" customWidth="1"/>
    <col min="6672" max="6675" width="11.5703125" style="238" customWidth="1"/>
    <col min="6676" max="6676" width="10.7109375" style="238" bestFit="1" customWidth="1"/>
    <col min="6677" max="6919" width="9.140625" style="238"/>
    <col min="6920" max="6920" width="43.42578125" style="238" customWidth="1"/>
    <col min="6921" max="6921" width="13.85546875" style="238" bestFit="1" customWidth="1"/>
    <col min="6922" max="6925" width="11.5703125" style="238" customWidth="1"/>
    <col min="6926" max="6926" width="31.42578125" style="238" bestFit="1" customWidth="1"/>
    <col min="6927" max="6927" width="14.7109375" style="238" customWidth="1"/>
    <col min="6928" max="6931" width="11.5703125" style="238" customWidth="1"/>
    <col min="6932" max="6932" width="10.7109375" style="238" bestFit="1" customWidth="1"/>
    <col min="6933" max="7175" width="9.140625" style="238"/>
    <col min="7176" max="7176" width="43.42578125" style="238" customWidth="1"/>
    <col min="7177" max="7177" width="13.85546875" style="238" bestFit="1" customWidth="1"/>
    <col min="7178" max="7181" width="11.5703125" style="238" customWidth="1"/>
    <col min="7182" max="7182" width="31.42578125" style="238" bestFit="1" customWidth="1"/>
    <col min="7183" max="7183" width="14.7109375" style="238" customWidth="1"/>
    <col min="7184" max="7187" width="11.5703125" style="238" customWidth="1"/>
    <col min="7188" max="7188" width="10.7109375" style="238" bestFit="1" customWidth="1"/>
    <col min="7189" max="7431" width="9.140625" style="238"/>
    <col min="7432" max="7432" width="43.42578125" style="238" customWidth="1"/>
    <col min="7433" max="7433" width="13.85546875" style="238" bestFit="1" customWidth="1"/>
    <col min="7434" max="7437" width="11.5703125" style="238" customWidth="1"/>
    <col min="7438" max="7438" width="31.42578125" style="238" bestFit="1" customWidth="1"/>
    <col min="7439" max="7439" width="14.7109375" style="238" customWidth="1"/>
    <col min="7440" max="7443" width="11.5703125" style="238" customWidth="1"/>
    <col min="7444" max="7444" width="10.7109375" style="238" bestFit="1" customWidth="1"/>
    <col min="7445" max="7687" width="9.140625" style="238"/>
    <col min="7688" max="7688" width="43.42578125" style="238" customWidth="1"/>
    <col min="7689" max="7689" width="13.85546875" style="238" bestFit="1" customWidth="1"/>
    <col min="7690" max="7693" width="11.5703125" style="238" customWidth="1"/>
    <col min="7694" max="7694" width="31.42578125" style="238" bestFit="1" customWidth="1"/>
    <col min="7695" max="7695" width="14.7109375" style="238" customWidth="1"/>
    <col min="7696" max="7699" width="11.5703125" style="238" customWidth="1"/>
    <col min="7700" max="7700" width="10.7109375" style="238" bestFit="1" customWidth="1"/>
    <col min="7701" max="7943" width="9.140625" style="238"/>
    <col min="7944" max="7944" width="43.42578125" style="238" customWidth="1"/>
    <col min="7945" max="7945" width="13.85546875" style="238" bestFit="1" customWidth="1"/>
    <col min="7946" max="7949" width="11.5703125" style="238" customWidth="1"/>
    <col min="7950" max="7950" width="31.42578125" style="238" bestFit="1" customWidth="1"/>
    <col min="7951" max="7951" width="14.7109375" style="238" customWidth="1"/>
    <col min="7952" max="7955" width="11.5703125" style="238" customWidth="1"/>
    <col min="7956" max="7956" width="10.7109375" style="238" bestFit="1" customWidth="1"/>
    <col min="7957" max="8199" width="9.140625" style="238"/>
    <col min="8200" max="8200" width="43.42578125" style="238" customWidth="1"/>
    <col min="8201" max="8201" width="13.85546875" style="238" bestFit="1" customWidth="1"/>
    <col min="8202" max="8205" width="11.5703125" style="238" customWidth="1"/>
    <col min="8206" max="8206" width="31.42578125" style="238" bestFit="1" customWidth="1"/>
    <col min="8207" max="8207" width="14.7109375" style="238" customWidth="1"/>
    <col min="8208" max="8211" width="11.5703125" style="238" customWidth="1"/>
    <col min="8212" max="8212" width="10.7109375" style="238" bestFit="1" customWidth="1"/>
    <col min="8213" max="8455" width="9.140625" style="238"/>
    <col min="8456" max="8456" width="43.42578125" style="238" customWidth="1"/>
    <col min="8457" max="8457" width="13.85546875" style="238" bestFit="1" customWidth="1"/>
    <col min="8458" max="8461" width="11.5703125" style="238" customWidth="1"/>
    <col min="8462" max="8462" width="31.42578125" style="238" bestFit="1" customWidth="1"/>
    <col min="8463" max="8463" width="14.7109375" style="238" customWidth="1"/>
    <col min="8464" max="8467" width="11.5703125" style="238" customWidth="1"/>
    <col min="8468" max="8468" width="10.7109375" style="238" bestFit="1" customWidth="1"/>
    <col min="8469" max="8711" width="9.140625" style="238"/>
    <col min="8712" max="8712" width="43.42578125" style="238" customWidth="1"/>
    <col min="8713" max="8713" width="13.85546875" style="238" bestFit="1" customWidth="1"/>
    <col min="8714" max="8717" width="11.5703125" style="238" customWidth="1"/>
    <col min="8718" max="8718" width="31.42578125" style="238" bestFit="1" customWidth="1"/>
    <col min="8719" max="8719" width="14.7109375" style="238" customWidth="1"/>
    <col min="8720" max="8723" width="11.5703125" style="238" customWidth="1"/>
    <col min="8724" max="8724" width="10.7109375" style="238" bestFit="1" customWidth="1"/>
    <col min="8725" max="8967" width="9.140625" style="238"/>
    <col min="8968" max="8968" width="43.42578125" style="238" customWidth="1"/>
    <col min="8969" max="8969" width="13.85546875" style="238" bestFit="1" customWidth="1"/>
    <col min="8970" max="8973" width="11.5703125" style="238" customWidth="1"/>
    <col min="8974" max="8974" width="31.42578125" style="238" bestFit="1" customWidth="1"/>
    <col min="8975" max="8975" width="14.7109375" style="238" customWidth="1"/>
    <col min="8976" max="8979" width="11.5703125" style="238" customWidth="1"/>
    <col min="8980" max="8980" width="10.7109375" style="238" bestFit="1" customWidth="1"/>
    <col min="8981" max="9223" width="9.140625" style="238"/>
    <col min="9224" max="9224" width="43.42578125" style="238" customWidth="1"/>
    <col min="9225" max="9225" width="13.85546875" style="238" bestFit="1" customWidth="1"/>
    <col min="9226" max="9229" width="11.5703125" style="238" customWidth="1"/>
    <col min="9230" max="9230" width="31.42578125" style="238" bestFit="1" customWidth="1"/>
    <col min="9231" max="9231" width="14.7109375" style="238" customWidth="1"/>
    <col min="9232" max="9235" width="11.5703125" style="238" customWidth="1"/>
    <col min="9236" max="9236" width="10.7109375" style="238" bestFit="1" customWidth="1"/>
    <col min="9237" max="9479" width="9.140625" style="238"/>
    <col min="9480" max="9480" width="43.42578125" style="238" customWidth="1"/>
    <col min="9481" max="9481" width="13.85546875" style="238" bestFit="1" customWidth="1"/>
    <col min="9482" max="9485" width="11.5703125" style="238" customWidth="1"/>
    <col min="9486" max="9486" width="31.42578125" style="238" bestFit="1" customWidth="1"/>
    <col min="9487" max="9487" width="14.7109375" style="238" customWidth="1"/>
    <col min="9488" max="9491" width="11.5703125" style="238" customWidth="1"/>
    <col min="9492" max="9492" width="10.7109375" style="238" bestFit="1" customWidth="1"/>
    <col min="9493" max="9735" width="9.140625" style="238"/>
    <col min="9736" max="9736" width="43.42578125" style="238" customWidth="1"/>
    <col min="9737" max="9737" width="13.85546875" style="238" bestFit="1" customWidth="1"/>
    <col min="9738" max="9741" width="11.5703125" style="238" customWidth="1"/>
    <col min="9742" max="9742" width="31.42578125" style="238" bestFit="1" customWidth="1"/>
    <col min="9743" max="9743" width="14.7109375" style="238" customWidth="1"/>
    <col min="9744" max="9747" width="11.5703125" style="238" customWidth="1"/>
    <col min="9748" max="9748" width="10.7109375" style="238" bestFit="1" customWidth="1"/>
    <col min="9749" max="9991" width="9.140625" style="238"/>
    <col min="9992" max="9992" width="43.42578125" style="238" customWidth="1"/>
    <col min="9993" max="9993" width="13.85546875" style="238" bestFit="1" customWidth="1"/>
    <col min="9994" max="9997" width="11.5703125" style="238" customWidth="1"/>
    <col min="9998" max="9998" width="31.42578125" style="238" bestFit="1" customWidth="1"/>
    <col min="9999" max="9999" width="14.7109375" style="238" customWidth="1"/>
    <col min="10000" max="10003" width="11.5703125" style="238" customWidth="1"/>
    <col min="10004" max="10004" width="10.7109375" style="238" bestFit="1" customWidth="1"/>
    <col min="10005" max="10247" width="9.140625" style="238"/>
    <col min="10248" max="10248" width="43.42578125" style="238" customWidth="1"/>
    <col min="10249" max="10249" width="13.85546875" style="238" bestFit="1" customWidth="1"/>
    <col min="10250" max="10253" width="11.5703125" style="238" customWidth="1"/>
    <col min="10254" max="10254" width="31.42578125" style="238" bestFit="1" customWidth="1"/>
    <col min="10255" max="10255" width="14.7109375" style="238" customWidth="1"/>
    <col min="10256" max="10259" width="11.5703125" style="238" customWidth="1"/>
    <col min="10260" max="10260" width="10.7109375" style="238" bestFit="1" customWidth="1"/>
    <col min="10261" max="10503" width="9.140625" style="238"/>
    <col min="10504" max="10504" width="43.42578125" style="238" customWidth="1"/>
    <col min="10505" max="10505" width="13.85546875" style="238" bestFit="1" customWidth="1"/>
    <col min="10506" max="10509" width="11.5703125" style="238" customWidth="1"/>
    <col min="10510" max="10510" width="31.42578125" style="238" bestFit="1" customWidth="1"/>
    <col min="10511" max="10511" width="14.7109375" style="238" customWidth="1"/>
    <col min="10512" max="10515" width="11.5703125" style="238" customWidth="1"/>
    <col min="10516" max="10516" width="10.7109375" style="238" bestFit="1" customWidth="1"/>
    <col min="10517" max="10759" width="9.140625" style="238"/>
    <col min="10760" max="10760" width="43.42578125" style="238" customWidth="1"/>
    <col min="10761" max="10761" width="13.85546875" style="238" bestFit="1" customWidth="1"/>
    <col min="10762" max="10765" width="11.5703125" style="238" customWidth="1"/>
    <col min="10766" max="10766" width="31.42578125" style="238" bestFit="1" customWidth="1"/>
    <col min="10767" max="10767" width="14.7109375" style="238" customWidth="1"/>
    <col min="10768" max="10771" width="11.5703125" style="238" customWidth="1"/>
    <col min="10772" max="10772" width="10.7109375" style="238" bestFit="1" customWidth="1"/>
    <col min="10773" max="11015" width="9.140625" style="238"/>
    <col min="11016" max="11016" width="43.42578125" style="238" customWidth="1"/>
    <col min="11017" max="11017" width="13.85546875" style="238" bestFit="1" customWidth="1"/>
    <col min="11018" max="11021" width="11.5703125" style="238" customWidth="1"/>
    <col min="11022" max="11022" width="31.42578125" style="238" bestFit="1" customWidth="1"/>
    <col min="11023" max="11023" width="14.7109375" style="238" customWidth="1"/>
    <col min="11024" max="11027" width="11.5703125" style="238" customWidth="1"/>
    <col min="11028" max="11028" width="10.7109375" style="238" bestFit="1" customWidth="1"/>
    <col min="11029" max="11271" width="9.140625" style="238"/>
    <col min="11272" max="11272" width="43.42578125" style="238" customWidth="1"/>
    <col min="11273" max="11273" width="13.85546875" style="238" bestFit="1" customWidth="1"/>
    <col min="11274" max="11277" width="11.5703125" style="238" customWidth="1"/>
    <col min="11278" max="11278" width="31.42578125" style="238" bestFit="1" customWidth="1"/>
    <col min="11279" max="11279" width="14.7109375" style="238" customWidth="1"/>
    <col min="11280" max="11283" width="11.5703125" style="238" customWidth="1"/>
    <col min="11284" max="11284" width="10.7109375" style="238" bestFit="1" customWidth="1"/>
    <col min="11285" max="11527" width="9.140625" style="238"/>
    <col min="11528" max="11528" width="43.42578125" style="238" customWidth="1"/>
    <col min="11529" max="11529" width="13.85546875" style="238" bestFit="1" customWidth="1"/>
    <col min="11530" max="11533" width="11.5703125" style="238" customWidth="1"/>
    <col min="11534" max="11534" width="31.42578125" style="238" bestFit="1" customWidth="1"/>
    <col min="11535" max="11535" width="14.7109375" style="238" customWidth="1"/>
    <col min="11536" max="11539" width="11.5703125" style="238" customWidth="1"/>
    <col min="11540" max="11540" width="10.7109375" style="238" bestFit="1" customWidth="1"/>
    <col min="11541" max="11783" width="9.140625" style="238"/>
    <col min="11784" max="11784" width="43.42578125" style="238" customWidth="1"/>
    <col min="11785" max="11785" width="13.85546875" style="238" bestFit="1" customWidth="1"/>
    <col min="11786" max="11789" width="11.5703125" style="238" customWidth="1"/>
    <col min="11790" max="11790" width="31.42578125" style="238" bestFit="1" customWidth="1"/>
    <col min="11791" max="11791" width="14.7109375" style="238" customWidth="1"/>
    <col min="11792" max="11795" width="11.5703125" style="238" customWidth="1"/>
    <col min="11796" max="11796" width="10.7109375" style="238" bestFit="1" customWidth="1"/>
    <col min="11797" max="12039" width="9.140625" style="238"/>
    <col min="12040" max="12040" width="43.42578125" style="238" customWidth="1"/>
    <col min="12041" max="12041" width="13.85546875" style="238" bestFit="1" customWidth="1"/>
    <col min="12042" max="12045" width="11.5703125" style="238" customWidth="1"/>
    <col min="12046" max="12046" width="31.42578125" style="238" bestFit="1" customWidth="1"/>
    <col min="12047" max="12047" width="14.7109375" style="238" customWidth="1"/>
    <col min="12048" max="12051" width="11.5703125" style="238" customWidth="1"/>
    <col min="12052" max="12052" width="10.7109375" style="238" bestFit="1" customWidth="1"/>
    <col min="12053" max="12295" width="9.140625" style="238"/>
    <col min="12296" max="12296" width="43.42578125" style="238" customWidth="1"/>
    <col min="12297" max="12297" width="13.85546875" style="238" bestFit="1" customWidth="1"/>
    <col min="12298" max="12301" width="11.5703125" style="238" customWidth="1"/>
    <col min="12302" max="12302" width="31.42578125" style="238" bestFit="1" customWidth="1"/>
    <col min="12303" max="12303" width="14.7109375" style="238" customWidth="1"/>
    <col min="12304" max="12307" width="11.5703125" style="238" customWidth="1"/>
    <col min="12308" max="12308" width="10.7109375" style="238" bestFit="1" customWidth="1"/>
    <col min="12309" max="12551" width="9.140625" style="238"/>
    <col min="12552" max="12552" width="43.42578125" style="238" customWidth="1"/>
    <col min="12553" max="12553" width="13.85546875" style="238" bestFit="1" customWidth="1"/>
    <col min="12554" max="12557" width="11.5703125" style="238" customWidth="1"/>
    <col min="12558" max="12558" width="31.42578125" style="238" bestFit="1" customWidth="1"/>
    <col min="12559" max="12559" width="14.7109375" style="238" customWidth="1"/>
    <col min="12560" max="12563" width="11.5703125" style="238" customWidth="1"/>
    <col min="12564" max="12564" width="10.7109375" style="238" bestFit="1" customWidth="1"/>
    <col min="12565" max="12807" width="9.140625" style="238"/>
    <col min="12808" max="12808" width="43.42578125" style="238" customWidth="1"/>
    <col min="12809" max="12809" width="13.85546875" style="238" bestFit="1" customWidth="1"/>
    <col min="12810" max="12813" width="11.5703125" style="238" customWidth="1"/>
    <col min="12814" max="12814" width="31.42578125" style="238" bestFit="1" customWidth="1"/>
    <col min="12815" max="12815" width="14.7109375" style="238" customWidth="1"/>
    <col min="12816" max="12819" width="11.5703125" style="238" customWidth="1"/>
    <col min="12820" max="12820" width="10.7109375" style="238" bestFit="1" customWidth="1"/>
    <col min="12821" max="13063" width="9.140625" style="238"/>
    <col min="13064" max="13064" width="43.42578125" style="238" customWidth="1"/>
    <col min="13065" max="13065" width="13.85546875" style="238" bestFit="1" customWidth="1"/>
    <col min="13066" max="13069" width="11.5703125" style="238" customWidth="1"/>
    <col min="13070" max="13070" width="31.42578125" style="238" bestFit="1" customWidth="1"/>
    <col min="13071" max="13071" width="14.7109375" style="238" customWidth="1"/>
    <col min="13072" max="13075" width="11.5703125" style="238" customWidth="1"/>
    <col min="13076" max="13076" width="10.7109375" style="238" bestFit="1" customWidth="1"/>
    <col min="13077" max="13319" width="9.140625" style="238"/>
    <col min="13320" max="13320" width="43.42578125" style="238" customWidth="1"/>
    <col min="13321" max="13321" width="13.85546875" style="238" bestFit="1" customWidth="1"/>
    <col min="13322" max="13325" width="11.5703125" style="238" customWidth="1"/>
    <col min="13326" max="13326" width="31.42578125" style="238" bestFit="1" customWidth="1"/>
    <col min="13327" max="13327" width="14.7109375" style="238" customWidth="1"/>
    <col min="13328" max="13331" width="11.5703125" style="238" customWidth="1"/>
    <col min="13332" max="13332" width="10.7109375" style="238" bestFit="1" customWidth="1"/>
    <col min="13333" max="13575" width="9.140625" style="238"/>
    <col min="13576" max="13576" width="43.42578125" style="238" customWidth="1"/>
    <col min="13577" max="13577" width="13.85546875" style="238" bestFit="1" customWidth="1"/>
    <col min="13578" max="13581" width="11.5703125" style="238" customWidth="1"/>
    <col min="13582" max="13582" width="31.42578125" style="238" bestFit="1" customWidth="1"/>
    <col min="13583" max="13583" width="14.7109375" style="238" customWidth="1"/>
    <col min="13584" max="13587" width="11.5703125" style="238" customWidth="1"/>
    <col min="13588" max="13588" width="10.7109375" style="238" bestFit="1" customWidth="1"/>
    <col min="13589" max="13831" width="9.140625" style="238"/>
    <col min="13832" max="13832" width="43.42578125" style="238" customWidth="1"/>
    <col min="13833" max="13833" width="13.85546875" style="238" bestFit="1" customWidth="1"/>
    <col min="13834" max="13837" width="11.5703125" style="238" customWidth="1"/>
    <col min="13838" max="13838" width="31.42578125" style="238" bestFit="1" customWidth="1"/>
    <col min="13839" max="13839" width="14.7109375" style="238" customWidth="1"/>
    <col min="13840" max="13843" width="11.5703125" style="238" customWidth="1"/>
    <col min="13844" max="13844" width="10.7109375" style="238" bestFit="1" customWidth="1"/>
    <col min="13845" max="14087" width="9.140625" style="238"/>
    <col min="14088" max="14088" width="43.42578125" style="238" customWidth="1"/>
    <col min="14089" max="14089" width="13.85546875" style="238" bestFit="1" customWidth="1"/>
    <col min="14090" max="14093" width="11.5703125" style="238" customWidth="1"/>
    <col min="14094" max="14094" width="31.42578125" style="238" bestFit="1" customWidth="1"/>
    <col min="14095" max="14095" width="14.7109375" style="238" customWidth="1"/>
    <col min="14096" max="14099" width="11.5703125" style="238" customWidth="1"/>
    <col min="14100" max="14100" width="10.7109375" style="238" bestFit="1" customWidth="1"/>
    <col min="14101" max="14343" width="9.140625" style="238"/>
    <col min="14344" max="14344" width="43.42578125" style="238" customWidth="1"/>
    <col min="14345" max="14345" width="13.85546875" style="238" bestFit="1" customWidth="1"/>
    <col min="14346" max="14349" width="11.5703125" style="238" customWidth="1"/>
    <col min="14350" max="14350" width="31.42578125" style="238" bestFit="1" customWidth="1"/>
    <col min="14351" max="14351" width="14.7109375" style="238" customWidth="1"/>
    <col min="14352" max="14355" width="11.5703125" style="238" customWidth="1"/>
    <col min="14356" max="14356" width="10.7109375" style="238" bestFit="1" customWidth="1"/>
    <col min="14357" max="14599" width="9.140625" style="238"/>
    <col min="14600" max="14600" width="43.42578125" style="238" customWidth="1"/>
    <col min="14601" max="14601" width="13.85546875" style="238" bestFit="1" customWidth="1"/>
    <col min="14602" max="14605" width="11.5703125" style="238" customWidth="1"/>
    <col min="14606" max="14606" width="31.42578125" style="238" bestFit="1" customWidth="1"/>
    <col min="14607" max="14607" width="14.7109375" style="238" customWidth="1"/>
    <col min="14608" max="14611" width="11.5703125" style="238" customWidth="1"/>
    <col min="14612" max="14612" width="10.7109375" style="238" bestFit="1" customWidth="1"/>
    <col min="14613" max="14855" width="9.140625" style="238"/>
    <col min="14856" max="14856" width="43.42578125" style="238" customWidth="1"/>
    <col min="14857" max="14857" width="13.85546875" style="238" bestFit="1" customWidth="1"/>
    <col min="14858" max="14861" width="11.5703125" style="238" customWidth="1"/>
    <col min="14862" max="14862" width="31.42578125" style="238" bestFit="1" customWidth="1"/>
    <col min="14863" max="14863" width="14.7109375" style="238" customWidth="1"/>
    <col min="14864" max="14867" width="11.5703125" style="238" customWidth="1"/>
    <col min="14868" max="14868" width="10.7109375" style="238" bestFit="1" customWidth="1"/>
    <col min="14869" max="15111" width="9.140625" style="238"/>
    <col min="15112" max="15112" width="43.42578125" style="238" customWidth="1"/>
    <col min="15113" max="15113" width="13.85546875" style="238" bestFit="1" customWidth="1"/>
    <col min="15114" max="15117" width="11.5703125" style="238" customWidth="1"/>
    <col min="15118" max="15118" width="31.42578125" style="238" bestFit="1" customWidth="1"/>
    <col min="15119" max="15119" width="14.7109375" style="238" customWidth="1"/>
    <col min="15120" max="15123" width="11.5703125" style="238" customWidth="1"/>
    <col min="15124" max="15124" width="10.7109375" style="238" bestFit="1" customWidth="1"/>
    <col min="15125" max="15367" width="9.140625" style="238"/>
    <col min="15368" max="15368" width="43.42578125" style="238" customWidth="1"/>
    <col min="15369" max="15369" width="13.85546875" style="238" bestFit="1" customWidth="1"/>
    <col min="15370" max="15373" width="11.5703125" style="238" customWidth="1"/>
    <col min="15374" max="15374" width="31.42578125" style="238" bestFit="1" customWidth="1"/>
    <col min="15375" max="15375" width="14.7109375" style="238" customWidth="1"/>
    <col min="15376" max="15379" width="11.5703125" style="238" customWidth="1"/>
    <col min="15380" max="15380" width="10.7109375" style="238" bestFit="1" customWidth="1"/>
    <col min="15381" max="15623" width="9.140625" style="238"/>
    <col min="15624" max="15624" width="43.42578125" style="238" customWidth="1"/>
    <col min="15625" max="15625" width="13.85546875" style="238" bestFit="1" customWidth="1"/>
    <col min="15626" max="15629" width="11.5703125" style="238" customWidth="1"/>
    <col min="15630" max="15630" width="31.42578125" style="238" bestFit="1" customWidth="1"/>
    <col min="15631" max="15631" width="14.7109375" style="238" customWidth="1"/>
    <col min="15632" max="15635" width="11.5703125" style="238" customWidth="1"/>
    <col min="15636" max="15636" width="10.7109375" style="238" bestFit="1" customWidth="1"/>
    <col min="15637" max="15879" width="9.140625" style="238"/>
    <col min="15880" max="15880" width="43.42578125" style="238" customWidth="1"/>
    <col min="15881" max="15881" width="13.85546875" style="238" bestFit="1" customWidth="1"/>
    <col min="15882" max="15885" width="11.5703125" style="238" customWidth="1"/>
    <col min="15886" max="15886" width="31.42578125" style="238" bestFit="1" customWidth="1"/>
    <col min="15887" max="15887" width="14.7109375" style="238" customWidth="1"/>
    <col min="15888" max="15891" width="11.5703125" style="238" customWidth="1"/>
    <col min="15892" max="15892" width="10.7109375" style="238" bestFit="1" customWidth="1"/>
    <col min="15893" max="16135" width="9.140625" style="238"/>
    <col min="16136" max="16136" width="43.42578125" style="238" customWidth="1"/>
    <col min="16137" max="16137" width="13.85546875" style="238" bestFit="1" customWidth="1"/>
    <col min="16138" max="16141" width="11.5703125" style="238" customWidth="1"/>
    <col min="16142" max="16142" width="31.42578125" style="238" bestFit="1" customWidth="1"/>
    <col min="16143" max="16143" width="14.7109375" style="238" customWidth="1"/>
    <col min="16144" max="16147" width="11.5703125" style="238" customWidth="1"/>
    <col min="16148" max="16384" width="9.140625" style="238"/>
  </cols>
  <sheetData>
    <row r="1" spans="2:21" ht="17.25" x14ac:dyDescent="0.3">
      <c r="B1" s="701" t="s">
        <v>96</v>
      </c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456"/>
      <c r="S1" s="456"/>
      <c r="U1" s="457"/>
    </row>
    <row r="2" spans="2:21" ht="17.25" x14ac:dyDescent="0.3">
      <c r="B2" s="701" t="s">
        <v>119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456"/>
      <c r="S2" s="456"/>
      <c r="U2" s="457"/>
    </row>
    <row r="3" spans="2:21" ht="17.25" x14ac:dyDescent="0.3">
      <c r="B3" s="701" t="s">
        <v>63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456"/>
      <c r="S3" s="456"/>
      <c r="U3" s="457"/>
    </row>
    <row r="4" spans="2:21" ht="15.75" thickBot="1" x14ac:dyDescent="0.3"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7"/>
      <c r="U4" s="457"/>
    </row>
    <row r="5" spans="2:21" ht="17.25" customHeight="1" thickBot="1" x14ac:dyDescent="0.3">
      <c r="B5" s="573" t="s">
        <v>98</v>
      </c>
      <c r="C5" s="572" t="s">
        <v>224</v>
      </c>
      <c r="D5" s="572"/>
      <c r="E5" s="572" t="s">
        <v>594</v>
      </c>
      <c r="F5" s="571">
        <v>2012</v>
      </c>
      <c r="G5" s="571">
        <v>2013</v>
      </c>
      <c r="H5" s="570" t="s">
        <v>227</v>
      </c>
      <c r="I5" s="570" t="s">
        <v>360</v>
      </c>
      <c r="J5" s="570"/>
      <c r="K5" s="569" t="s">
        <v>585</v>
      </c>
      <c r="L5" s="568" t="s">
        <v>224</v>
      </c>
      <c r="M5" s="568" t="s">
        <v>594</v>
      </c>
      <c r="N5" s="568"/>
      <c r="O5" s="568"/>
      <c r="P5" s="567">
        <v>2012</v>
      </c>
      <c r="Q5" s="566">
        <v>2013</v>
      </c>
      <c r="R5" s="565" t="s">
        <v>227</v>
      </c>
      <c r="S5" s="564"/>
    </row>
    <row r="6" spans="2:21" x14ac:dyDescent="0.25">
      <c r="B6" s="563"/>
      <c r="C6" s="512"/>
      <c r="D6" s="512"/>
      <c r="E6" s="512"/>
      <c r="F6" s="501"/>
      <c r="G6" s="506"/>
      <c r="H6" s="506"/>
      <c r="I6" s="506"/>
      <c r="J6" s="506"/>
      <c r="K6" s="562"/>
      <c r="L6" s="561"/>
      <c r="M6" s="561"/>
      <c r="N6" s="561"/>
      <c r="O6" s="561"/>
      <c r="P6" s="560"/>
      <c r="Q6" s="560"/>
      <c r="R6" s="560"/>
      <c r="S6" s="559"/>
    </row>
    <row r="7" spans="2:21" x14ac:dyDescent="0.25">
      <c r="B7" s="558" t="s">
        <v>228</v>
      </c>
      <c r="C7" s="521" t="s">
        <v>584</v>
      </c>
      <c r="D7" s="521"/>
      <c r="E7" s="521"/>
      <c r="F7" s="553"/>
      <c r="G7" s="557"/>
      <c r="H7" s="557"/>
      <c r="I7" s="557"/>
      <c r="J7" s="557"/>
      <c r="K7" s="533" t="s">
        <v>229</v>
      </c>
      <c r="L7" s="521" t="s">
        <v>583</v>
      </c>
      <c r="M7" s="521"/>
      <c r="N7" s="521"/>
      <c r="O7" s="521"/>
      <c r="P7" s="556"/>
      <c r="Q7" s="556"/>
      <c r="R7" s="556"/>
      <c r="S7" s="555"/>
    </row>
    <row r="8" spans="2:21" x14ac:dyDescent="0.25">
      <c r="B8" s="526" t="s">
        <v>582</v>
      </c>
      <c r="C8" s="531" t="s">
        <v>581</v>
      </c>
      <c r="D8" s="531"/>
      <c r="E8" s="527">
        <v>4</v>
      </c>
      <c r="F8" s="553"/>
      <c r="G8" s="553"/>
      <c r="H8" s="553"/>
      <c r="I8" s="553"/>
      <c r="J8" s="553"/>
      <c r="K8" s="554" t="s">
        <v>580</v>
      </c>
      <c r="L8" s="531" t="s">
        <v>579</v>
      </c>
      <c r="M8" s="527">
        <v>8</v>
      </c>
      <c r="N8" s="527"/>
      <c r="O8" s="527"/>
      <c r="P8" s="498"/>
      <c r="Q8" s="551"/>
      <c r="R8" s="501"/>
      <c r="S8" s="532"/>
    </row>
    <row r="9" spans="2:21" x14ac:dyDescent="0.25">
      <c r="B9" s="518" t="s">
        <v>132</v>
      </c>
      <c r="C9" s="531" t="s">
        <v>578</v>
      </c>
      <c r="D9" s="531"/>
      <c r="E9" s="531"/>
      <c r="F9" s="553"/>
      <c r="G9" s="553"/>
      <c r="H9" s="501"/>
      <c r="I9" s="501"/>
      <c r="J9" s="501"/>
      <c r="K9" s="552" t="s">
        <v>361</v>
      </c>
      <c r="L9" s="531" t="s">
        <v>577</v>
      </c>
      <c r="M9" s="531"/>
      <c r="N9" s="527"/>
      <c r="O9" s="527"/>
      <c r="P9" s="498"/>
      <c r="Q9" s="551"/>
      <c r="R9" s="501"/>
      <c r="S9" s="532"/>
    </row>
    <row r="10" spans="2:21" x14ac:dyDescent="0.25">
      <c r="B10" s="507" t="s">
        <v>132</v>
      </c>
      <c r="C10" s="527" t="s">
        <v>576</v>
      </c>
      <c r="D10" s="527"/>
      <c r="F10" s="501">
        <v>371425</v>
      </c>
      <c r="G10" s="501"/>
      <c r="H10" s="501"/>
      <c r="I10" s="501"/>
      <c r="J10" s="501"/>
      <c r="K10" s="511" t="s">
        <v>361</v>
      </c>
      <c r="L10" s="527" t="s">
        <v>575</v>
      </c>
      <c r="M10" s="527"/>
      <c r="N10" s="527"/>
      <c r="O10" s="527"/>
      <c r="P10" s="501">
        <v>32500</v>
      </c>
      <c r="Q10" s="501"/>
      <c r="R10" s="501"/>
      <c r="S10" s="532"/>
    </row>
    <row r="11" spans="2:21" x14ac:dyDescent="0.25">
      <c r="B11" s="526" t="s">
        <v>130</v>
      </c>
      <c r="C11" s="531" t="s">
        <v>574</v>
      </c>
      <c r="D11" s="527"/>
      <c r="E11" s="527">
        <v>5</v>
      </c>
      <c r="F11" s="501"/>
      <c r="G11" s="501"/>
      <c r="H11" s="501"/>
      <c r="I11" s="501"/>
      <c r="J11" s="501"/>
      <c r="K11" s="511" t="s">
        <v>236</v>
      </c>
      <c r="L11" s="527" t="s">
        <v>573</v>
      </c>
      <c r="M11" s="527"/>
      <c r="N11" s="509" t="s">
        <v>57</v>
      </c>
      <c r="O11" s="509"/>
      <c r="P11" s="501">
        <v>638</v>
      </c>
      <c r="Q11" s="501"/>
      <c r="R11" s="501"/>
      <c r="S11" s="550" t="s">
        <v>58</v>
      </c>
    </row>
    <row r="12" spans="2:21" x14ac:dyDescent="0.25">
      <c r="B12" s="518" t="s">
        <v>130</v>
      </c>
      <c r="C12" s="531" t="s">
        <v>572</v>
      </c>
      <c r="D12" s="527"/>
      <c r="E12" s="527"/>
      <c r="F12" s="501"/>
      <c r="G12" s="501"/>
      <c r="H12" s="501"/>
      <c r="I12" s="501"/>
      <c r="J12" s="501"/>
      <c r="K12" s="547" t="s">
        <v>571</v>
      </c>
      <c r="L12" s="531" t="s">
        <v>570</v>
      </c>
      <c r="M12" s="531"/>
      <c r="N12" s="527"/>
      <c r="O12" s="527"/>
      <c r="P12" s="501"/>
      <c r="Q12" s="501"/>
      <c r="R12" s="501"/>
      <c r="S12" s="532"/>
    </row>
    <row r="13" spans="2:21" x14ac:dyDescent="0.25">
      <c r="B13" s="507" t="s">
        <v>130</v>
      </c>
      <c r="C13" s="527" t="s">
        <v>569</v>
      </c>
      <c r="D13" s="527"/>
      <c r="F13" s="501">
        <v>32500</v>
      </c>
      <c r="G13" s="501"/>
      <c r="H13" s="501"/>
      <c r="I13" s="501"/>
      <c r="J13" s="501"/>
      <c r="K13" s="528" t="s">
        <v>568</v>
      </c>
      <c r="L13" s="531" t="s">
        <v>567</v>
      </c>
      <c r="M13" s="531"/>
      <c r="N13" s="527"/>
      <c r="O13" s="527"/>
      <c r="P13" s="501"/>
      <c r="Q13" s="501"/>
      <c r="R13" s="501"/>
      <c r="S13" s="532"/>
    </row>
    <row r="14" spans="2:21" x14ac:dyDescent="0.25">
      <c r="B14" s="526" t="s">
        <v>131</v>
      </c>
      <c r="C14" s="531" t="s">
        <v>566</v>
      </c>
      <c r="D14" s="527"/>
      <c r="E14" s="527">
        <v>6</v>
      </c>
      <c r="F14" s="501"/>
      <c r="G14" s="501"/>
      <c r="H14" s="501"/>
      <c r="I14" s="501"/>
      <c r="J14" s="501"/>
      <c r="K14" s="549" t="s">
        <v>485</v>
      </c>
      <c r="L14" s="527" t="s">
        <v>565</v>
      </c>
      <c r="M14" s="527">
        <v>10</v>
      </c>
      <c r="N14" s="527"/>
      <c r="O14" s="527"/>
      <c r="P14" s="501">
        <v>17540</v>
      </c>
      <c r="Q14" s="501"/>
      <c r="R14" s="501"/>
      <c r="S14" s="532"/>
    </row>
    <row r="15" spans="2:21" x14ac:dyDescent="0.25">
      <c r="B15" s="548" t="s">
        <v>564</v>
      </c>
      <c r="C15" s="531" t="s">
        <v>563</v>
      </c>
      <c r="D15" s="527"/>
      <c r="E15" s="527"/>
      <c r="F15" s="501"/>
      <c r="G15" s="501"/>
      <c r="H15" s="501"/>
      <c r="I15" s="501"/>
      <c r="J15" s="501"/>
      <c r="K15" s="547" t="s">
        <v>562</v>
      </c>
      <c r="L15" s="531" t="s">
        <v>561</v>
      </c>
      <c r="M15" s="527">
        <v>9</v>
      </c>
      <c r="N15" s="527"/>
      <c r="O15" s="527"/>
      <c r="P15" s="501"/>
      <c r="Q15" s="501"/>
      <c r="R15" s="501"/>
      <c r="S15" s="532"/>
    </row>
    <row r="16" spans="2:21" x14ac:dyDescent="0.25">
      <c r="B16" s="507" t="s">
        <v>560</v>
      </c>
      <c r="C16" s="527" t="s">
        <v>559</v>
      </c>
      <c r="D16" s="527"/>
      <c r="F16" s="501">
        <v>519</v>
      </c>
      <c r="G16" s="501"/>
      <c r="H16" s="501"/>
      <c r="I16" s="501"/>
      <c r="J16" s="501"/>
      <c r="K16" s="528" t="s">
        <v>558</v>
      </c>
      <c r="L16" s="531" t="s">
        <v>557</v>
      </c>
      <c r="M16" s="531"/>
      <c r="N16" s="527"/>
      <c r="O16" s="527"/>
      <c r="P16" s="501"/>
      <c r="Q16" s="501"/>
      <c r="R16" s="501"/>
      <c r="S16" s="532"/>
    </row>
    <row r="17" spans="2:25" x14ac:dyDescent="0.25">
      <c r="B17" s="526" t="s">
        <v>556</v>
      </c>
      <c r="C17" s="531" t="s">
        <v>555</v>
      </c>
      <c r="D17" s="527"/>
      <c r="E17" s="527">
        <v>5</v>
      </c>
      <c r="F17" s="501"/>
      <c r="G17" s="501"/>
      <c r="H17" s="501"/>
      <c r="I17" s="501"/>
      <c r="J17" s="501"/>
      <c r="K17" s="511" t="s">
        <v>461</v>
      </c>
      <c r="L17" s="527" t="s">
        <v>554</v>
      </c>
      <c r="M17" s="527"/>
      <c r="N17" s="527"/>
      <c r="O17" s="527"/>
      <c r="P17" s="501">
        <v>11656</v>
      </c>
      <c r="Q17" s="501"/>
      <c r="R17" s="501"/>
      <c r="S17" s="532"/>
    </row>
    <row r="18" spans="2:25" x14ac:dyDescent="0.25">
      <c r="B18" s="518" t="s">
        <v>553</v>
      </c>
      <c r="C18" s="531" t="s">
        <v>552</v>
      </c>
      <c r="D18" s="527"/>
      <c r="F18" s="501"/>
      <c r="G18" s="501"/>
      <c r="H18" s="501"/>
      <c r="I18" s="501"/>
      <c r="J18" s="501"/>
      <c r="K18" s="511" t="s">
        <v>551</v>
      </c>
      <c r="L18" s="527" t="s">
        <v>550</v>
      </c>
      <c r="M18" s="527"/>
      <c r="N18" s="527"/>
      <c r="O18" s="527"/>
      <c r="P18" s="501">
        <v>4196</v>
      </c>
      <c r="Q18" s="501"/>
      <c r="R18" s="501"/>
      <c r="S18" s="532"/>
    </row>
    <row r="19" spans="2:25" x14ac:dyDescent="0.25">
      <c r="B19" s="507" t="s">
        <v>549</v>
      </c>
      <c r="C19" s="527" t="s">
        <v>548</v>
      </c>
      <c r="D19" s="527"/>
      <c r="F19" s="501">
        <v>1200</v>
      </c>
      <c r="G19" s="501"/>
      <c r="H19" s="501"/>
      <c r="I19" s="501"/>
      <c r="J19" s="501"/>
      <c r="K19" s="528" t="s">
        <v>547</v>
      </c>
      <c r="L19" s="531" t="s">
        <v>546</v>
      </c>
      <c r="M19" s="531"/>
      <c r="N19" s="527"/>
      <c r="O19" s="527"/>
      <c r="P19" s="501"/>
      <c r="Q19" s="501"/>
      <c r="R19" s="501"/>
      <c r="S19" s="532"/>
    </row>
    <row r="20" spans="2:25" x14ac:dyDescent="0.25">
      <c r="B20" s="507"/>
      <c r="C20" s="527"/>
      <c r="D20" s="527"/>
      <c r="E20" s="527"/>
      <c r="F20" s="501"/>
      <c r="G20" s="501"/>
      <c r="H20" s="501"/>
      <c r="I20" s="501"/>
      <c r="J20" s="501"/>
      <c r="K20" s="511" t="s">
        <v>429</v>
      </c>
      <c r="L20" s="527" t="s">
        <v>545</v>
      </c>
      <c r="M20" s="527"/>
      <c r="N20" s="527"/>
      <c r="O20" s="527"/>
      <c r="P20" s="501">
        <v>16490</v>
      </c>
      <c r="Q20" s="501"/>
      <c r="R20" s="501"/>
      <c r="S20" s="532"/>
    </row>
    <row r="21" spans="2:25" x14ac:dyDescent="0.25">
      <c r="B21" s="507"/>
      <c r="C21" s="527"/>
      <c r="D21" s="527"/>
      <c r="E21" s="527"/>
      <c r="F21" s="501"/>
      <c r="G21" s="501"/>
      <c r="H21" s="501"/>
      <c r="I21" s="501"/>
      <c r="J21" s="501"/>
      <c r="K21" s="504"/>
      <c r="L21" s="527"/>
      <c r="M21" s="527"/>
      <c r="N21" s="527"/>
      <c r="O21" s="527"/>
      <c r="P21" s="501"/>
      <c r="Q21" s="501"/>
      <c r="R21" s="501"/>
      <c r="S21" s="532"/>
    </row>
    <row r="22" spans="2:25" x14ac:dyDescent="0.25">
      <c r="B22" s="545" t="s">
        <v>544</v>
      </c>
      <c r="C22" s="544"/>
      <c r="D22" s="544"/>
      <c r="E22" s="544"/>
      <c r="F22" s="543">
        <f>SUM(F10:F19)</f>
        <v>405644</v>
      </c>
      <c r="G22" s="542"/>
      <c r="H22" s="541"/>
      <c r="I22" s="546"/>
      <c r="J22" s="546"/>
      <c r="K22" s="545" t="s">
        <v>544</v>
      </c>
      <c r="L22" s="544"/>
      <c r="M22" s="544"/>
      <c r="N22" s="544"/>
      <c r="O22" s="544"/>
      <c r="P22" s="543">
        <f>P10-P11+SUM(P14:P20)</f>
        <v>81744</v>
      </c>
      <c r="Q22" s="542"/>
      <c r="R22" s="541"/>
      <c r="S22" s="540"/>
    </row>
    <row r="23" spans="2:25" x14ac:dyDescent="0.25">
      <c r="B23" s="535"/>
      <c r="C23" s="527"/>
      <c r="D23" s="527"/>
      <c r="E23" s="527"/>
      <c r="F23" s="501"/>
      <c r="G23" s="501"/>
      <c r="H23" s="530"/>
      <c r="I23" s="529"/>
      <c r="J23" s="529"/>
      <c r="K23" s="539" t="s">
        <v>543</v>
      </c>
      <c r="L23" s="492"/>
      <c r="M23" s="492"/>
      <c r="N23" s="492"/>
      <c r="O23" s="492"/>
      <c r="P23" s="538">
        <f>P22</f>
        <v>81744</v>
      </c>
      <c r="Q23" s="537"/>
      <c r="R23" s="537"/>
      <c r="S23" s="536"/>
    </row>
    <row r="24" spans="2:25" x14ac:dyDescent="0.25">
      <c r="B24" s="535"/>
      <c r="C24" s="527"/>
      <c r="D24" s="527"/>
      <c r="E24" s="527"/>
      <c r="F24" s="501"/>
      <c r="G24" s="501"/>
      <c r="H24" s="530"/>
      <c r="I24" s="529"/>
      <c r="J24" s="529"/>
      <c r="K24" s="526"/>
      <c r="L24" s="527"/>
      <c r="M24" s="527"/>
      <c r="N24" s="527"/>
      <c r="O24" s="527"/>
      <c r="P24" s="553"/>
      <c r="Q24" s="501"/>
      <c r="R24" s="501"/>
      <c r="S24" s="532"/>
    </row>
    <row r="25" spans="2:25" x14ac:dyDescent="0.25">
      <c r="B25" s="534" t="s">
        <v>238</v>
      </c>
      <c r="C25" s="531" t="s">
        <v>542</v>
      </c>
      <c r="D25" s="527"/>
      <c r="F25" s="501"/>
      <c r="G25" s="501"/>
      <c r="H25" s="501"/>
      <c r="I25" s="501"/>
      <c r="J25" s="501"/>
      <c r="K25" s="526"/>
      <c r="L25" s="527"/>
      <c r="M25" s="527"/>
      <c r="N25" s="527"/>
      <c r="O25" s="527"/>
      <c r="P25" s="553"/>
      <c r="Q25" s="501"/>
      <c r="R25" s="501"/>
      <c r="S25" s="532"/>
    </row>
    <row r="26" spans="2:25" x14ac:dyDescent="0.25">
      <c r="B26" s="518" t="s">
        <v>553</v>
      </c>
      <c r="C26" s="531" t="s">
        <v>592</v>
      </c>
      <c r="D26" s="527"/>
      <c r="E26" s="527">
        <v>5</v>
      </c>
      <c r="F26" s="501"/>
      <c r="G26" s="501"/>
      <c r="H26" s="501"/>
      <c r="I26" s="501"/>
      <c r="J26" s="501"/>
      <c r="K26" s="526"/>
      <c r="L26" s="527"/>
      <c r="M26" s="527"/>
      <c r="N26" s="527"/>
      <c r="O26" s="527"/>
      <c r="P26" s="553"/>
      <c r="Q26" s="501"/>
      <c r="R26" s="501"/>
      <c r="S26" s="532"/>
      <c r="X26" s="513"/>
      <c r="Y26" s="513"/>
    </row>
    <row r="27" spans="2:25" x14ac:dyDescent="0.25">
      <c r="B27" s="507" t="s">
        <v>549</v>
      </c>
      <c r="C27" s="527" t="s">
        <v>593</v>
      </c>
      <c r="D27" s="527"/>
      <c r="F27" s="501">
        <v>600</v>
      </c>
      <c r="G27" s="501"/>
      <c r="H27" s="501"/>
      <c r="I27" s="501"/>
      <c r="J27" s="501"/>
      <c r="K27" s="535"/>
      <c r="L27" s="527"/>
      <c r="M27" s="527"/>
      <c r="N27" s="527"/>
      <c r="O27" s="527"/>
      <c r="P27" s="501"/>
      <c r="Q27" s="501"/>
      <c r="R27" s="501"/>
      <c r="S27" s="532"/>
      <c r="X27" s="513"/>
      <c r="Y27" s="513"/>
    </row>
    <row r="28" spans="2:25" x14ac:dyDescent="0.25">
      <c r="B28" s="534"/>
      <c r="C28" s="531"/>
      <c r="D28" s="527"/>
      <c r="E28" s="527"/>
      <c r="F28" s="501"/>
      <c r="G28" s="501"/>
      <c r="H28" s="530"/>
      <c r="I28" s="529"/>
      <c r="J28" s="529"/>
      <c r="K28" s="533" t="s">
        <v>252</v>
      </c>
      <c r="L28" s="531" t="s">
        <v>541</v>
      </c>
      <c r="M28" s="527">
        <v>10</v>
      </c>
      <c r="N28" s="527"/>
      <c r="O28" s="527"/>
      <c r="P28" s="501"/>
      <c r="Q28" s="501"/>
      <c r="R28" s="501"/>
      <c r="S28" s="532"/>
      <c r="X28" s="513"/>
      <c r="Y28" s="513"/>
    </row>
    <row r="29" spans="2:25" x14ac:dyDescent="0.25">
      <c r="B29" s="526" t="s">
        <v>133</v>
      </c>
      <c r="C29" s="531" t="s">
        <v>540</v>
      </c>
      <c r="D29" s="527"/>
      <c r="E29" s="527">
        <v>7</v>
      </c>
      <c r="F29" s="501"/>
      <c r="G29" s="501"/>
      <c r="H29" s="501"/>
      <c r="I29" s="501"/>
      <c r="J29" s="501"/>
      <c r="K29" s="526" t="s">
        <v>539</v>
      </c>
      <c r="L29" s="522" t="s">
        <v>538</v>
      </c>
      <c r="M29" s="522"/>
      <c r="N29" s="503"/>
      <c r="O29" s="503"/>
      <c r="P29" s="501"/>
      <c r="Q29" s="501"/>
      <c r="R29" s="498"/>
      <c r="S29" s="497"/>
      <c r="X29" s="513"/>
      <c r="Y29" s="513"/>
    </row>
    <row r="30" spans="2:25" x14ac:dyDescent="0.25">
      <c r="B30" s="518" t="s">
        <v>133</v>
      </c>
      <c r="C30" s="531" t="s">
        <v>537</v>
      </c>
      <c r="D30" s="527"/>
      <c r="E30" s="527"/>
      <c r="F30" s="501"/>
      <c r="G30" s="498"/>
      <c r="H30" s="498"/>
      <c r="I30" s="498"/>
      <c r="J30" s="498"/>
      <c r="K30" s="528" t="s">
        <v>123</v>
      </c>
      <c r="L30" s="517" t="s">
        <v>536</v>
      </c>
      <c r="M30" s="517"/>
      <c r="N30" s="499"/>
      <c r="O30" s="499"/>
      <c r="P30" s="498"/>
      <c r="Q30" s="498"/>
      <c r="R30" s="498"/>
      <c r="S30" s="497"/>
      <c r="X30" s="513"/>
      <c r="Y30" s="513"/>
    </row>
    <row r="31" spans="2:25" x14ac:dyDescent="0.25">
      <c r="B31" s="507" t="s">
        <v>535</v>
      </c>
      <c r="C31" s="527" t="s">
        <v>534</v>
      </c>
      <c r="D31" s="520"/>
      <c r="E31" s="520"/>
      <c r="F31" s="501">
        <v>80000</v>
      </c>
      <c r="G31" s="498"/>
      <c r="H31" s="506"/>
      <c r="I31" s="506"/>
      <c r="J31" s="506"/>
      <c r="K31" s="507" t="s">
        <v>123</v>
      </c>
      <c r="L31" s="499" t="s">
        <v>533</v>
      </c>
      <c r="M31" s="499"/>
      <c r="N31" s="499"/>
      <c r="O31" s="499"/>
      <c r="P31" s="498">
        <v>500000</v>
      </c>
      <c r="Q31" s="498"/>
      <c r="R31" s="499"/>
      <c r="S31" s="524"/>
      <c r="X31" s="513"/>
      <c r="Y31" s="513"/>
    </row>
    <row r="32" spans="2:25" x14ac:dyDescent="0.25">
      <c r="B32" s="511" t="s">
        <v>210</v>
      </c>
      <c r="C32" s="169" t="s">
        <v>532</v>
      </c>
      <c r="D32" s="499"/>
      <c r="E32" s="499"/>
      <c r="F32" s="498">
        <v>120000</v>
      </c>
      <c r="G32" s="501"/>
      <c r="H32" s="506"/>
      <c r="I32" s="506"/>
      <c r="J32" s="506"/>
      <c r="K32" s="526" t="s">
        <v>531</v>
      </c>
      <c r="L32" s="521" t="s">
        <v>530</v>
      </c>
      <c r="M32" s="521"/>
      <c r="N32" s="521"/>
      <c r="O32" s="521"/>
      <c r="P32" s="525"/>
      <c r="Q32" s="525"/>
      <c r="R32" s="499"/>
      <c r="S32" s="524"/>
      <c r="X32" s="513"/>
      <c r="Y32" s="513"/>
    </row>
    <row r="33" spans="2:25" x14ac:dyDescent="0.25">
      <c r="B33" s="523" t="s">
        <v>129</v>
      </c>
      <c r="C33" s="169" t="s">
        <v>529</v>
      </c>
      <c r="D33" s="499"/>
      <c r="E33" s="499"/>
      <c r="F33" s="498">
        <v>50000</v>
      </c>
      <c r="G33" s="501"/>
      <c r="H33" s="506"/>
      <c r="I33" s="506"/>
      <c r="J33" s="506"/>
      <c r="K33" s="518" t="s">
        <v>528</v>
      </c>
      <c r="L33" s="522" t="s">
        <v>527</v>
      </c>
      <c r="M33" s="522"/>
      <c r="N33" s="503"/>
      <c r="O33" s="503"/>
      <c r="P33" s="502"/>
      <c r="Q33" s="502"/>
      <c r="R33" s="502"/>
      <c r="S33" s="519"/>
      <c r="X33" s="513"/>
      <c r="Y33" s="513"/>
    </row>
    <row r="34" spans="2:25" x14ac:dyDescent="0.25">
      <c r="B34" s="507" t="s">
        <v>408</v>
      </c>
      <c r="C34" s="512" t="s">
        <v>526</v>
      </c>
      <c r="D34" s="521"/>
      <c r="E34" s="521"/>
      <c r="F34" s="501">
        <v>10000</v>
      </c>
      <c r="G34" s="498"/>
      <c r="H34" s="502"/>
      <c r="I34" s="502"/>
      <c r="J34" s="506"/>
      <c r="K34" s="511" t="s">
        <v>525</v>
      </c>
      <c r="L34" s="503" t="s">
        <v>524</v>
      </c>
      <c r="M34" s="503"/>
      <c r="N34" s="503"/>
      <c r="O34" s="503"/>
      <c r="P34" s="501">
        <v>1539</v>
      </c>
      <c r="Q34" s="501"/>
      <c r="R34" s="502"/>
      <c r="S34" s="519"/>
      <c r="X34" s="513"/>
      <c r="Y34" s="513"/>
    </row>
    <row r="35" spans="2:25" x14ac:dyDescent="0.25">
      <c r="B35" s="518" t="s">
        <v>523</v>
      </c>
      <c r="C35" s="521" t="s">
        <v>522</v>
      </c>
      <c r="D35" s="520"/>
      <c r="E35" s="520"/>
      <c r="F35" s="501"/>
      <c r="G35" s="499"/>
      <c r="H35" s="501"/>
      <c r="I35" s="501"/>
      <c r="J35" s="506"/>
      <c r="K35" s="507" t="s">
        <v>487</v>
      </c>
      <c r="L35" s="503" t="s">
        <v>521</v>
      </c>
      <c r="M35" s="503"/>
      <c r="N35" s="503"/>
      <c r="O35" s="503"/>
      <c r="P35" s="501">
        <v>11694</v>
      </c>
      <c r="Q35" s="501"/>
      <c r="R35" s="502"/>
      <c r="S35" s="519"/>
    </row>
    <row r="36" spans="2:25" x14ac:dyDescent="0.25">
      <c r="B36" s="511" t="s">
        <v>520</v>
      </c>
      <c r="C36" s="512" t="s">
        <v>519</v>
      </c>
      <c r="D36" s="509" t="s">
        <v>57</v>
      </c>
      <c r="E36" s="509"/>
      <c r="F36" s="498">
        <v>1600</v>
      </c>
      <c r="G36" s="501"/>
      <c r="H36" s="501"/>
      <c r="I36" s="501"/>
      <c r="J36" s="508" t="s">
        <v>58</v>
      </c>
      <c r="K36" s="518" t="s">
        <v>518</v>
      </c>
      <c r="L36" s="517" t="s">
        <v>517</v>
      </c>
      <c r="M36" s="517"/>
      <c r="N36" s="499"/>
      <c r="O36" s="499"/>
      <c r="P36" s="499"/>
      <c r="Q36" s="499"/>
      <c r="R36" s="516"/>
      <c r="S36" s="515"/>
    </row>
    <row r="37" spans="2:25" x14ac:dyDescent="0.25">
      <c r="B37" s="511" t="s">
        <v>516</v>
      </c>
      <c r="C37" s="514" t="s">
        <v>515</v>
      </c>
      <c r="D37" s="509" t="s">
        <v>57</v>
      </c>
      <c r="E37" s="509"/>
      <c r="F37" s="498">
        <v>8667</v>
      </c>
      <c r="G37" s="501"/>
      <c r="H37" s="501"/>
      <c r="I37" s="501"/>
      <c r="J37" s="508" t="s">
        <v>58</v>
      </c>
      <c r="K37" s="507" t="s">
        <v>514</v>
      </c>
      <c r="L37" s="499" t="s">
        <v>513</v>
      </c>
      <c r="M37" s="499"/>
      <c r="N37" s="499"/>
      <c r="O37" s="499"/>
      <c r="P37" s="499">
        <v>50000</v>
      </c>
      <c r="Q37" s="499"/>
      <c r="R37" s="506"/>
      <c r="S37" s="505"/>
    </row>
    <row r="38" spans="2:25" x14ac:dyDescent="0.25">
      <c r="B38" s="511" t="s">
        <v>512</v>
      </c>
      <c r="C38" s="512" t="s">
        <v>511</v>
      </c>
      <c r="D38" s="509" t="s">
        <v>57</v>
      </c>
      <c r="E38" s="509"/>
      <c r="F38" s="501">
        <v>10000</v>
      </c>
      <c r="G38" s="502"/>
      <c r="H38" s="501"/>
      <c r="I38" s="501"/>
      <c r="J38" s="508" t="s">
        <v>58</v>
      </c>
      <c r="K38" s="507"/>
      <c r="L38" s="499"/>
      <c r="M38" s="499"/>
      <c r="N38" s="499"/>
      <c r="O38" s="499"/>
      <c r="P38" s="499"/>
      <c r="Q38" s="499"/>
      <c r="R38" s="506"/>
      <c r="S38" s="505"/>
    </row>
    <row r="39" spans="2:25" x14ac:dyDescent="0.25">
      <c r="B39" s="511" t="s">
        <v>510</v>
      </c>
      <c r="C39" s="510" t="s">
        <v>509</v>
      </c>
      <c r="D39" s="509" t="s">
        <v>57</v>
      </c>
      <c r="E39" s="509"/>
      <c r="F39" s="501">
        <v>1000</v>
      </c>
      <c r="G39" s="494"/>
      <c r="H39" s="494"/>
      <c r="I39" s="494"/>
      <c r="J39" s="508" t="s">
        <v>58</v>
      </c>
      <c r="K39" s="507"/>
      <c r="L39" s="499"/>
      <c r="M39" s="499"/>
      <c r="N39" s="499"/>
      <c r="O39" s="499"/>
      <c r="P39" s="499"/>
      <c r="Q39" s="499"/>
      <c r="R39" s="506"/>
      <c r="S39" s="505"/>
    </row>
    <row r="40" spans="2:25" ht="15.75" thickBot="1" x14ac:dyDescent="0.3">
      <c r="B40" s="504"/>
      <c r="C40" s="503"/>
      <c r="D40" s="503"/>
      <c r="E40" s="503"/>
      <c r="F40" s="502"/>
      <c r="G40" s="487"/>
      <c r="H40" s="487"/>
      <c r="I40" s="487"/>
      <c r="J40" s="501"/>
      <c r="K40" s="500"/>
      <c r="L40" s="499"/>
      <c r="M40" s="499"/>
      <c r="N40" s="499"/>
      <c r="O40" s="499"/>
      <c r="P40" s="498"/>
      <c r="Q40" s="498"/>
      <c r="R40" s="498"/>
      <c r="S40" s="497"/>
    </row>
    <row r="41" spans="2:25" ht="17.25" thickTop="1" thickBot="1" x14ac:dyDescent="0.3">
      <c r="B41" s="496"/>
      <c r="C41" s="494"/>
      <c r="D41" s="494"/>
      <c r="E41" s="494"/>
      <c r="F41" s="495"/>
      <c r="G41" s="480"/>
      <c r="H41" s="480"/>
      <c r="I41" s="480"/>
      <c r="J41" s="494"/>
      <c r="K41" s="493"/>
      <c r="L41" s="492"/>
      <c r="M41" s="492"/>
      <c r="N41" s="492"/>
      <c r="O41" s="492"/>
      <c r="P41" s="491"/>
      <c r="Q41" s="491"/>
      <c r="R41" s="491"/>
      <c r="S41" s="490"/>
    </row>
    <row r="42" spans="2:25" ht="15.75" thickBot="1" x14ac:dyDescent="0.3">
      <c r="B42" s="489" t="s">
        <v>508</v>
      </c>
      <c r="C42" s="488"/>
      <c r="D42" s="488"/>
      <c r="E42" s="488"/>
      <c r="F42" s="484">
        <f>SUM(F31:F35)-SUM(F36:F39)+F27</f>
        <v>239333</v>
      </c>
      <c r="J42" s="487"/>
      <c r="K42" s="486" t="s">
        <v>507</v>
      </c>
      <c r="L42" s="485"/>
      <c r="M42" s="485"/>
      <c r="N42" s="485"/>
      <c r="O42" s="485"/>
      <c r="P42" s="484">
        <f>SUM(P31:P41)</f>
        <v>563233</v>
      </c>
      <c r="Q42" s="483"/>
      <c r="R42" s="483"/>
      <c r="S42" s="482"/>
    </row>
    <row r="43" spans="2:25" ht="17.25" thickTop="1" thickBot="1" x14ac:dyDescent="0.3">
      <c r="B43" s="702" t="s">
        <v>261</v>
      </c>
      <c r="C43" s="703"/>
      <c r="D43" s="481"/>
      <c r="E43" s="481"/>
      <c r="F43" s="480">
        <f>F42+F22</f>
        <v>644977</v>
      </c>
      <c r="J43" s="480"/>
      <c r="K43" s="702" t="s">
        <v>506</v>
      </c>
      <c r="L43" s="703"/>
      <c r="M43" s="575"/>
      <c r="N43" s="481"/>
      <c r="O43" s="481"/>
      <c r="P43" s="480">
        <f>P42+P23</f>
        <v>644977</v>
      </c>
      <c r="Q43" s="479"/>
      <c r="R43" s="479"/>
      <c r="S43" s="478"/>
    </row>
    <row r="46" spans="2:25" x14ac:dyDescent="0.25">
      <c r="B46" s="477"/>
      <c r="K46" s="477"/>
    </row>
    <row r="47" spans="2:25" x14ac:dyDescent="0.25">
      <c r="B47" s="477"/>
      <c r="K47" s="477"/>
    </row>
  </sheetData>
  <mergeCells count="5">
    <mergeCell ref="B1:Q1"/>
    <mergeCell ref="B2:Q2"/>
    <mergeCell ref="B3:Q3"/>
    <mergeCell ref="K43:L43"/>
    <mergeCell ref="B43:C4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topLeftCell="B6" zoomScale="170" zoomScaleNormal="170" workbookViewId="0">
      <selection activeCell="H18" sqref="H18"/>
    </sheetView>
  </sheetViews>
  <sheetFormatPr defaultColWidth="13.5703125" defaultRowHeight="15" x14ac:dyDescent="0.25"/>
  <cols>
    <col min="1" max="1" width="30.7109375" style="70" customWidth="1"/>
    <col min="2" max="5" width="13.5703125" style="70"/>
    <col min="6" max="6" width="12" style="70" customWidth="1"/>
    <col min="7" max="16384" width="13.5703125" style="70"/>
  </cols>
  <sheetData>
    <row r="1" spans="1:8" x14ac:dyDescent="0.25">
      <c r="A1" s="653" t="s">
        <v>106</v>
      </c>
      <c r="B1" s="653"/>
      <c r="C1" s="653"/>
      <c r="D1" s="653"/>
      <c r="E1" s="653"/>
      <c r="F1" s="653"/>
      <c r="G1" s="653"/>
    </row>
    <row r="2" spans="1:8" x14ac:dyDescent="0.25">
      <c r="A2" s="653" t="s">
        <v>119</v>
      </c>
      <c r="B2" s="653"/>
      <c r="C2" s="653"/>
      <c r="D2" s="653"/>
      <c r="E2" s="653"/>
      <c r="F2" s="653"/>
      <c r="G2" s="653"/>
    </row>
    <row r="3" spans="1:8" x14ac:dyDescent="0.25">
      <c r="A3" s="653" t="s">
        <v>63</v>
      </c>
      <c r="B3" s="653"/>
      <c r="C3" s="653"/>
      <c r="D3" s="653"/>
      <c r="E3" s="653"/>
      <c r="F3" s="653"/>
      <c r="G3" s="653"/>
    </row>
    <row r="4" spans="1:8" ht="12.75" customHeight="1" x14ac:dyDescent="0.25">
      <c r="A4" s="71"/>
      <c r="B4" s="71"/>
      <c r="C4" s="71"/>
      <c r="D4" s="71"/>
      <c r="E4" s="71"/>
      <c r="F4" s="71"/>
      <c r="G4" s="71"/>
    </row>
    <row r="5" spans="1:8" s="372" customFormat="1" ht="27" customHeight="1" x14ac:dyDescent="0.25">
      <c r="A5" s="371"/>
      <c r="B5" s="371"/>
      <c r="C5" s="433" t="s">
        <v>488</v>
      </c>
      <c r="D5" s="704" t="s">
        <v>107</v>
      </c>
      <c r="E5" s="704"/>
      <c r="F5" s="75"/>
      <c r="G5" s="371"/>
    </row>
    <row r="6" spans="1:8" ht="45" customHeight="1" x14ac:dyDescent="0.25">
      <c r="A6" s="74" t="s">
        <v>108</v>
      </c>
      <c r="B6" s="74" t="str">
        <f>[4]BP!E25</f>
        <v>Capital Social Integralizado</v>
      </c>
      <c r="C6" s="74" t="s">
        <v>118</v>
      </c>
      <c r="D6" s="74" t="str">
        <f>[4]BP!E28</f>
        <v>Reserva Legal</v>
      </c>
      <c r="E6" s="74" t="s">
        <v>117</v>
      </c>
      <c r="F6" s="74" t="str">
        <f>[4]Razonetes!F83</f>
        <v>Luc.ou Prej. Acum.</v>
      </c>
      <c r="G6" s="74" t="s">
        <v>109</v>
      </c>
    </row>
    <row r="7" spans="1:8" x14ac:dyDescent="0.25">
      <c r="A7" s="428" t="s">
        <v>110</v>
      </c>
      <c r="B7" s="76">
        <v>0</v>
      </c>
      <c r="C7" s="76">
        <v>0</v>
      </c>
      <c r="D7" s="72">
        <v>0</v>
      </c>
      <c r="E7" s="72">
        <v>0</v>
      </c>
      <c r="F7" s="76">
        <v>0</v>
      </c>
      <c r="G7" s="72">
        <f>SUM(B7:F7)</f>
        <v>0</v>
      </c>
    </row>
    <row r="8" spans="1:8" s="580" customFormat="1" x14ac:dyDescent="0.25">
      <c r="A8" s="581" t="s">
        <v>595</v>
      </c>
      <c r="B8" s="582"/>
      <c r="C8" s="582"/>
      <c r="D8" s="583"/>
      <c r="E8" s="583"/>
      <c r="F8" s="582"/>
      <c r="G8" s="583"/>
    </row>
    <row r="9" spans="1:8" s="580" customFormat="1" x14ac:dyDescent="0.25">
      <c r="A9" s="581" t="s">
        <v>596</v>
      </c>
      <c r="B9" s="582"/>
      <c r="C9" s="582"/>
      <c r="D9" s="583"/>
      <c r="E9" s="583"/>
      <c r="F9" s="582"/>
      <c r="G9" s="583"/>
    </row>
    <row r="10" spans="1:8" x14ac:dyDescent="0.25">
      <c r="A10" s="429" t="s">
        <v>116</v>
      </c>
      <c r="B10" s="434">
        <f>'Lanç x1'!E7</f>
        <v>500000</v>
      </c>
      <c r="C10" s="434">
        <f>'Lanç x1'!E8</f>
        <v>50000</v>
      </c>
      <c r="D10" s="434"/>
      <c r="E10" s="434"/>
      <c r="F10" s="434"/>
      <c r="G10" s="435">
        <f>SUM(B10:F10)</f>
        <v>550000</v>
      </c>
    </row>
    <row r="11" spans="1:8" x14ac:dyDescent="0.25">
      <c r="A11" s="584" t="s">
        <v>111</v>
      </c>
      <c r="B11" s="585"/>
      <c r="C11" s="585"/>
      <c r="D11" s="585"/>
      <c r="E11" s="585"/>
      <c r="F11" s="586">
        <f>'DRE x1'!F44</f>
        <v>30772.552799999998</v>
      </c>
      <c r="G11" s="585">
        <f t="shared" ref="G11:G16" si="0">SUM(B11:F11)</f>
        <v>30772.552799999998</v>
      </c>
    </row>
    <row r="12" spans="1:8" x14ac:dyDescent="0.25">
      <c r="A12" s="430" t="s">
        <v>112</v>
      </c>
      <c r="B12" s="436"/>
      <c r="C12" s="436"/>
      <c r="D12" s="436"/>
      <c r="E12" s="436"/>
      <c r="F12" s="436"/>
      <c r="G12" s="435">
        <f t="shared" si="0"/>
        <v>0</v>
      </c>
    </row>
    <row r="13" spans="1:8" x14ac:dyDescent="0.25">
      <c r="A13" s="431" t="s">
        <v>113</v>
      </c>
      <c r="B13" s="436"/>
      <c r="C13" s="436"/>
      <c r="D13" s="437">
        <f>'RESERVAS e DIVIDENDOS x1'!F6</f>
        <v>1538.6276399999999</v>
      </c>
      <c r="E13" s="436"/>
      <c r="F13" s="436">
        <f>-'RESERVAS e DIVIDENDOS x1'!F6</f>
        <v>-1538.6276399999999</v>
      </c>
      <c r="G13" s="435">
        <f t="shared" si="0"/>
        <v>0</v>
      </c>
    </row>
    <row r="14" spans="1:8" x14ac:dyDescent="0.25">
      <c r="A14" s="431" t="str">
        <f>[4]Razonetes!J74</f>
        <v>Reserva Ret. Lucros</v>
      </c>
      <c r="B14" s="436"/>
      <c r="C14" s="436"/>
      <c r="D14" s="436"/>
      <c r="E14" s="437">
        <v>11693.57</v>
      </c>
      <c r="F14" s="436">
        <f>-11693.57</f>
        <v>-11693.57</v>
      </c>
      <c r="G14" s="435">
        <f t="shared" si="0"/>
        <v>0</v>
      </c>
    </row>
    <row r="15" spans="1:8" x14ac:dyDescent="0.25">
      <c r="A15" s="430" t="s">
        <v>114</v>
      </c>
      <c r="B15" s="436"/>
      <c r="C15" s="436"/>
      <c r="D15" s="436"/>
      <c r="E15" s="436"/>
      <c r="F15" s="438">
        <f>-'RESERVAS e DIVIDENDOS x1'!M9</f>
        <v>-17540.355095999999</v>
      </c>
      <c r="G15" s="435">
        <f t="shared" si="0"/>
        <v>-17540.355095999999</v>
      </c>
    </row>
    <row r="16" spans="1:8" x14ac:dyDescent="0.25">
      <c r="A16" s="73" t="s">
        <v>115</v>
      </c>
      <c r="B16" s="435">
        <f>SUM(B7:B15)</f>
        <v>500000</v>
      </c>
      <c r="C16" s="435">
        <f t="shared" ref="C16:E16" si="1">SUM(C7:C15)</f>
        <v>50000</v>
      </c>
      <c r="D16" s="435">
        <f t="shared" si="1"/>
        <v>1538.6276399999999</v>
      </c>
      <c r="E16" s="435">
        <f t="shared" si="1"/>
        <v>11693.57</v>
      </c>
      <c r="F16" s="435">
        <f>SUM(F7:F15)</f>
        <v>6.3999999838415533E-5</v>
      </c>
      <c r="G16" s="435">
        <f t="shared" si="0"/>
        <v>563232.19770399993</v>
      </c>
      <c r="H16" s="432">
        <f>SUM(G7:G15)</f>
        <v>563232.19770399993</v>
      </c>
    </row>
  </sheetData>
  <mergeCells count="4">
    <mergeCell ref="A1:G1"/>
    <mergeCell ref="A2:G2"/>
    <mergeCell ref="A3:G3"/>
    <mergeCell ref="D5:E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9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2.7109375" style="89" bestFit="1" customWidth="1"/>
    <col min="2" max="2" width="4.85546875" style="89" bestFit="1" customWidth="1"/>
    <col min="3" max="3" width="13.28515625" style="89" bestFit="1" customWidth="1"/>
    <col min="4" max="4" width="21.28515625" style="89" bestFit="1" customWidth="1"/>
    <col min="5" max="5" width="19.140625" style="89" bestFit="1" customWidth="1"/>
    <col min="6" max="6" width="9.140625" style="89"/>
    <col min="7" max="7" width="2.7109375" style="89" bestFit="1" customWidth="1"/>
    <col min="8" max="8" width="9.140625" style="89"/>
    <col min="9" max="9" width="13.28515625" style="89" bestFit="1" customWidth="1"/>
    <col min="10" max="10" width="21.28515625" style="89" bestFit="1" customWidth="1"/>
    <col min="11" max="11" width="19.140625" style="89" bestFit="1" customWidth="1"/>
    <col min="12" max="16384" width="9.140625" style="89"/>
  </cols>
  <sheetData>
    <row r="4" spans="1:13" ht="15.75" thickBot="1" x14ac:dyDescent="0.3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x14ac:dyDescent="0.25">
      <c r="A5" s="166"/>
      <c r="B5" s="189" t="s">
        <v>17</v>
      </c>
      <c r="C5" s="705" t="s">
        <v>203</v>
      </c>
      <c r="D5" s="705"/>
      <c r="E5" s="706"/>
      <c r="F5" s="166"/>
      <c r="G5" s="188" t="s">
        <v>2</v>
      </c>
      <c r="H5" s="189" t="s">
        <v>17</v>
      </c>
      <c r="I5" s="705" t="s">
        <v>203</v>
      </c>
      <c r="J5" s="705"/>
      <c r="K5" s="706"/>
      <c r="L5" s="166"/>
      <c r="M5" s="166"/>
    </row>
    <row r="6" spans="1:13" x14ac:dyDescent="0.25">
      <c r="A6" s="166"/>
      <c r="B6" s="190"/>
      <c r="C6" s="191" t="s">
        <v>204</v>
      </c>
      <c r="D6" s="191" t="s">
        <v>205</v>
      </c>
      <c r="E6" s="192" t="s">
        <v>206</v>
      </c>
      <c r="F6" s="166"/>
      <c r="G6" s="166"/>
      <c r="H6" s="190"/>
      <c r="I6" s="191" t="s">
        <v>204</v>
      </c>
      <c r="J6" s="191" t="s">
        <v>205</v>
      </c>
      <c r="K6" s="192" t="s">
        <v>206</v>
      </c>
      <c r="L6" s="166"/>
      <c r="M6" s="166"/>
    </row>
    <row r="7" spans="1:13" ht="15.75" thickBot="1" x14ac:dyDescent="0.3">
      <c r="B7" s="193">
        <v>1</v>
      </c>
      <c r="C7" s="207"/>
      <c r="D7" s="208"/>
      <c r="E7" s="209"/>
      <c r="H7" s="193"/>
      <c r="I7" s="213"/>
      <c r="J7" s="208"/>
      <c r="K7" s="209"/>
    </row>
    <row r="8" spans="1:13" ht="15.75" thickBot="1" x14ac:dyDescent="0.3">
      <c r="B8" s="193">
        <v>2</v>
      </c>
      <c r="C8" s="207"/>
      <c r="D8" s="208"/>
      <c r="E8" s="209"/>
      <c r="H8" s="193"/>
      <c r="I8" s="213"/>
      <c r="J8" s="208"/>
      <c r="K8" s="209"/>
    </row>
    <row r="9" spans="1:13" ht="15.75" thickBot="1" x14ac:dyDescent="0.3">
      <c r="B9" s="193">
        <v>3</v>
      </c>
      <c r="C9" s="207"/>
      <c r="D9" s="208"/>
      <c r="E9" s="209"/>
      <c r="H9" s="193"/>
      <c r="I9" s="213"/>
      <c r="J9" s="208"/>
      <c r="K9" s="209"/>
    </row>
    <row r="10" spans="1:13" ht="15.75" thickBot="1" x14ac:dyDescent="0.3">
      <c r="B10" s="193">
        <v>4</v>
      </c>
      <c r="C10" s="207"/>
      <c r="D10" s="208"/>
      <c r="E10" s="209"/>
      <c r="H10" s="193"/>
      <c r="I10" s="214"/>
      <c r="J10" s="208"/>
      <c r="K10" s="209"/>
    </row>
    <row r="11" spans="1:13" ht="15.75" thickBot="1" x14ac:dyDescent="0.3">
      <c r="B11" s="195">
        <v>5</v>
      </c>
      <c r="C11" s="207"/>
      <c r="D11" s="210"/>
      <c r="E11" s="211"/>
      <c r="H11" s="195"/>
      <c r="I11" s="207"/>
      <c r="J11" s="210"/>
      <c r="K11" s="211"/>
    </row>
    <row r="12" spans="1:13" x14ac:dyDescent="0.25">
      <c r="B12" s="194"/>
      <c r="C12" s="92"/>
      <c r="D12" s="212"/>
      <c r="E12" s="92"/>
      <c r="I12" s="22"/>
      <c r="J12" s="212"/>
      <c r="K12" s="22"/>
    </row>
    <row r="13" spans="1:13" ht="15.75" thickBot="1" x14ac:dyDescent="0.3"/>
    <row r="14" spans="1:13" x14ac:dyDescent="0.25">
      <c r="A14" s="188" t="s">
        <v>13</v>
      </c>
      <c r="B14" s="189" t="s">
        <v>17</v>
      </c>
      <c r="C14" s="705"/>
      <c r="D14" s="705"/>
      <c r="E14" s="706"/>
      <c r="G14" s="198"/>
      <c r="H14" s="189"/>
      <c r="I14" s="705"/>
      <c r="J14" s="705"/>
      <c r="K14" s="706"/>
    </row>
    <row r="15" spans="1:13" x14ac:dyDescent="0.25">
      <c r="B15" s="190"/>
      <c r="C15" s="191"/>
      <c r="D15" s="191"/>
      <c r="E15" s="192"/>
      <c r="H15" s="190"/>
      <c r="I15" s="191"/>
      <c r="J15" s="191"/>
      <c r="K15" s="192"/>
    </row>
    <row r="16" spans="1:13" x14ac:dyDescent="0.25">
      <c r="B16" s="193">
        <v>1</v>
      </c>
      <c r="C16" s="219"/>
      <c r="D16" s="220"/>
      <c r="E16" s="221"/>
      <c r="H16" s="193"/>
      <c r="I16" s="213"/>
      <c r="J16" s="208"/>
      <c r="K16" s="209"/>
    </row>
    <row r="17" spans="2:11" x14ac:dyDescent="0.25">
      <c r="B17" s="193">
        <v>2</v>
      </c>
      <c r="C17" s="219"/>
      <c r="D17" s="220"/>
      <c r="E17" s="221"/>
      <c r="H17" s="193"/>
      <c r="I17" s="213"/>
      <c r="J17" s="208"/>
      <c r="K17" s="209"/>
    </row>
    <row r="18" spans="2:11" x14ac:dyDescent="0.25">
      <c r="B18" s="193">
        <v>3</v>
      </c>
      <c r="C18" s="219"/>
      <c r="D18" s="220"/>
      <c r="E18" s="221"/>
      <c r="H18" s="193"/>
      <c r="I18" s="213"/>
      <c r="J18" s="208"/>
      <c r="K18" s="209"/>
    </row>
    <row r="19" spans="2:11" x14ac:dyDescent="0.25">
      <c r="B19" s="193">
        <v>4</v>
      </c>
      <c r="C19" s="219"/>
      <c r="D19" s="220"/>
      <c r="E19" s="221"/>
      <c r="H19" s="193"/>
      <c r="I19" s="213"/>
      <c r="J19" s="208"/>
      <c r="K19" s="209"/>
    </row>
    <row r="20" spans="2:11" x14ac:dyDescent="0.25">
      <c r="B20" s="193">
        <v>5</v>
      </c>
      <c r="C20" s="219"/>
      <c r="D20" s="220"/>
      <c r="E20" s="221"/>
      <c r="H20" s="193"/>
      <c r="I20" s="213"/>
      <c r="J20" s="208"/>
      <c r="K20" s="209"/>
    </row>
    <row r="21" spans="2:11" x14ac:dyDescent="0.25">
      <c r="B21" s="196">
        <v>6</v>
      </c>
      <c r="C21" s="222"/>
      <c r="D21" s="220"/>
      <c r="E21" s="221"/>
      <c r="H21" s="196"/>
      <c r="I21" s="214"/>
      <c r="J21" s="208"/>
      <c r="K21" s="209"/>
    </row>
    <row r="22" spans="2:11" ht="15.75" thickBot="1" x14ac:dyDescent="0.3">
      <c r="B22" s="197">
        <v>7</v>
      </c>
      <c r="C22" s="223"/>
      <c r="D22" s="224"/>
      <c r="E22" s="225"/>
      <c r="H22" s="197"/>
      <c r="I22" s="207"/>
      <c r="J22" s="210"/>
      <c r="K22" s="211"/>
    </row>
    <row r="23" spans="2:11" x14ac:dyDescent="0.25">
      <c r="B23" s="194"/>
      <c r="C23" s="92"/>
      <c r="D23" s="212"/>
      <c r="E23" s="92"/>
      <c r="F23" s="22"/>
      <c r="G23" s="22"/>
      <c r="H23" s="92"/>
      <c r="I23" s="92"/>
      <c r="J23" s="212"/>
      <c r="K23" s="92"/>
    </row>
    <row r="24" spans="2:11" x14ac:dyDescent="0.25">
      <c r="D24" s="215"/>
      <c r="E24" s="22"/>
      <c r="F24" s="22"/>
      <c r="G24" s="22"/>
      <c r="H24" s="22"/>
      <c r="I24" s="22"/>
      <c r="J24" s="22"/>
    </row>
    <row r="25" spans="2:11" x14ac:dyDescent="0.25">
      <c r="D25" s="22"/>
      <c r="E25" s="22"/>
      <c r="F25" s="22"/>
      <c r="G25" s="22"/>
      <c r="H25" s="22"/>
      <c r="I25" s="22"/>
      <c r="J25" s="22"/>
    </row>
    <row r="26" spans="2:11" x14ac:dyDescent="0.25">
      <c r="D26" s="22"/>
      <c r="E26" s="22"/>
      <c r="F26" s="22"/>
      <c r="G26" s="22"/>
      <c r="H26" s="22"/>
      <c r="I26" s="22"/>
      <c r="J26" s="22"/>
    </row>
    <row r="27" spans="2:11" x14ac:dyDescent="0.25">
      <c r="D27" s="22"/>
      <c r="E27" s="22"/>
      <c r="F27" s="22"/>
      <c r="G27" s="22"/>
      <c r="H27" s="22"/>
      <c r="I27" s="22"/>
      <c r="J27" s="22"/>
    </row>
    <row r="28" spans="2:11" x14ac:dyDescent="0.25">
      <c r="D28" s="22"/>
      <c r="E28" s="22"/>
      <c r="F28" s="22"/>
      <c r="G28" s="22"/>
      <c r="H28" s="22"/>
      <c r="I28" s="22"/>
      <c r="J28" s="22"/>
    </row>
    <row r="29" spans="2:11" x14ac:dyDescent="0.25">
      <c r="D29" s="22"/>
      <c r="E29" s="22"/>
      <c r="F29" s="22"/>
      <c r="G29" s="22"/>
      <c r="H29" s="22"/>
      <c r="I29" s="22"/>
      <c r="J29" s="22"/>
    </row>
  </sheetData>
  <mergeCells count="4">
    <mergeCell ref="C5:E5"/>
    <mergeCell ref="I5:K5"/>
    <mergeCell ref="C14:E14"/>
    <mergeCell ref="I14:K1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Normal="100" workbookViewId="0">
      <selection activeCell="F22" sqref="F22"/>
    </sheetView>
  </sheetViews>
  <sheetFormatPr defaultRowHeight="15" x14ac:dyDescent="0.25"/>
  <cols>
    <col min="1" max="1" width="34.28515625" style="235" bestFit="1" customWidth="1"/>
    <col min="2" max="2" width="12.7109375" style="235" customWidth="1"/>
    <col min="3" max="3" width="12.140625" style="235" customWidth="1"/>
    <col min="4" max="4" width="13.7109375" style="46" customWidth="1"/>
    <col min="5" max="5" width="10.42578125" style="235" bestFit="1" customWidth="1"/>
    <col min="6" max="256" width="8.85546875" style="235"/>
    <col min="257" max="257" width="34.28515625" style="235" bestFit="1" customWidth="1"/>
    <col min="258" max="258" width="12.7109375" style="235" customWidth="1"/>
    <col min="259" max="259" width="12.140625" style="235" customWidth="1"/>
    <col min="260" max="260" width="13.7109375" style="235" customWidth="1"/>
    <col min="261" max="261" width="10.42578125" style="235" bestFit="1" customWidth="1"/>
    <col min="262" max="512" width="8.85546875" style="235"/>
    <col min="513" max="513" width="34.28515625" style="235" bestFit="1" customWidth="1"/>
    <col min="514" max="514" width="12.7109375" style="235" customWidth="1"/>
    <col min="515" max="515" width="12.140625" style="235" customWidth="1"/>
    <col min="516" max="516" width="13.7109375" style="235" customWidth="1"/>
    <col min="517" max="517" width="10.42578125" style="235" bestFit="1" customWidth="1"/>
    <col min="518" max="768" width="8.85546875" style="235"/>
    <col min="769" max="769" width="34.28515625" style="235" bestFit="1" customWidth="1"/>
    <col min="770" max="770" width="12.7109375" style="235" customWidth="1"/>
    <col min="771" max="771" width="12.140625" style="235" customWidth="1"/>
    <col min="772" max="772" width="13.7109375" style="235" customWidth="1"/>
    <col min="773" max="773" width="10.42578125" style="235" bestFit="1" customWidth="1"/>
    <col min="774" max="1024" width="8.85546875" style="235"/>
    <col min="1025" max="1025" width="34.28515625" style="235" bestFit="1" customWidth="1"/>
    <col min="1026" max="1026" width="12.7109375" style="235" customWidth="1"/>
    <col min="1027" max="1027" width="12.140625" style="235" customWidth="1"/>
    <col min="1028" max="1028" width="13.7109375" style="235" customWidth="1"/>
    <col min="1029" max="1029" width="10.42578125" style="235" bestFit="1" customWidth="1"/>
    <col min="1030" max="1280" width="8.85546875" style="235"/>
    <col min="1281" max="1281" width="34.28515625" style="235" bestFit="1" customWidth="1"/>
    <col min="1282" max="1282" width="12.7109375" style="235" customWidth="1"/>
    <col min="1283" max="1283" width="12.140625" style="235" customWidth="1"/>
    <col min="1284" max="1284" width="13.7109375" style="235" customWidth="1"/>
    <col min="1285" max="1285" width="10.42578125" style="235" bestFit="1" customWidth="1"/>
    <col min="1286" max="1536" width="8.85546875" style="235"/>
    <col min="1537" max="1537" width="34.28515625" style="235" bestFit="1" customWidth="1"/>
    <col min="1538" max="1538" width="12.7109375" style="235" customWidth="1"/>
    <col min="1539" max="1539" width="12.140625" style="235" customWidth="1"/>
    <col min="1540" max="1540" width="13.7109375" style="235" customWidth="1"/>
    <col min="1541" max="1541" width="10.42578125" style="235" bestFit="1" customWidth="1"/>
    <col min="1542" max="1792" width="8.85546875" style="235"/>
    <col min="1793" max="1793" width="34.28515625" style="235" bestFit="1" customWidth="1"/>
    <col min="1794" max="1794" width="12.7109375" style="235" customWidth="1"/>
    <col min="1795" max="1795" width="12.140625" style="235" customWidth="1"/>
    <col min="1796" max="1796" width="13.7109375" style="235" customWidth="1"/>
    <col min="1797" max="1797" width="10.42578125" style="235" bestFit="1" customWidth="1"/>
    <col min="1798" max="2048" width="8.85546875" style="235"/>
    <col min="2049" max="2049" width="34.28515625" style="235" bestFit="1" customWidth="1"/>
    <col min="2050" max="2050" width="12.7109375" style="235" customWidth="1"/>
    <col min="2051" max="2051" width="12.140625" style="235" customWidth="1"/>
    <col min="2052" max="2052" width="13.7109375" style="235" customWidth="1"/>
    <col min="2053" max="2053" width="10.42578125" style="235" bestFit="1" customWidth="1"/>
    <col min="2054" max="2304" width="8.85546875" style="235"/>
    <col min="2305" max="2305" width="34.28515625" style="235" bestFit="1" customWidth="1"/>
    <col min="2306" max="2306" width="12.7109375" style="235" customWidth="1"/>
    <col min="2307" max="2307" width="12.140625" style="235" customWidth="1"/>
    <col min="2308" max="2308" width="13.7109375" style="235" customWidth="1"/>
    <col min="2309" max="2309" width="10.42578125" style="235" bestFit="1" customWidth="1"/>
    <col min="2310" max="2560" width="8.85546875" style="235"/>
    <col min="2561" max="2561" width="34.28515625" style="235" bestFit="1" customWidth="1"/>
    <col min="2562" max="2562" width="12.7109375" style="235" customWidth="1"/>
    <col min="2563" max="2563" width="12.140625" style="235" customWidth="1"/>
    <col min="2564" max="2564" width="13.7109375" style="235" customWidth="1"/>
    <col min="2565" max="2565" width="10.42578125" style="235" bestFit="1" customWidth="1"/>
    <col min="2566" max="2816" width="8.85546875" style="235"/>
    <col min="2817" max="2817" width="34.28515625" style="235" bestFit="1" customWidth="1"/>
    <col min="2818" max="2818" width="12.7109375" style="235" customWidth="1"/>
    <col min="2819" max="2819" width="12.140625" style="235" customWidth="1"/>
    <col min="2820" max="2820" width="13.7109375" style="235" customWidth="1"/>
    <col min="2821" max="2821" width="10.42578125" style="235" bestFit="1" customWidth="1"/>
    <col min="2822" max="3072" width="8.85546875" style="235"/>
    <col min="3073" max="3073" width="34.28515625" style="235" bestFit="1" customWidth="1"/>
    <col min="3074" max="3074" width="12.7109375" style="235" customWidth="1"/>
    <col min="3075" max="3075" width="12.140625" style="235" customWidth="1"/>
    <col min="3076" max="3076" width="13.7109375" style="235" customWidth="1"/>
    <col min="3077" max="3077" width="10.42578125" style="235" bestFit="1" customWidth="1"/>
    <col min="3078" max="3328" width="8.85546875" style="235"/>
    <col min="3329" max="3329" width="34.28515625" style="235" bestFit="1" customWidth="1"/>
    <col min="3330" max="3330" width="12.7109375" style="235" customWidth="1"/>
    <col min="3331" max="3331" width="12.140625" style="235" customWidth="1"/>
    <col min="3332" max="3332" width="13.7109375" style="235" customWidth="1"/>
    <col min="3333" max="3333" width="10.42578125" style="235" bestFit="1" customWidth="1"/>
    <col min="3334" max="3584" width="8.85546875" style="235"/>
    <col min="3585" max="3585" width="34.28515625" style="235" bestFit="1" customWidth="1"/>
    <col min="3586" max="3586" width="12.7109375" style="235" customWidth="1"/>
    <col min="3587" max="3587" width="12.140625" style="235" customWidth="1"/>
    <col min="3588" max="3588" width="13.7109375" style="235" customWidth="1"/>
    <col min="3589" max="3589" width="10.42578125" style="235" bestFit="1" customWidth="1"/>
    <col min="3590" max="3840" width="8.85546875" style="235"/>
    <col min="3841" max="3841" width="34.28515625" style="235" bestFit="1" customWidth="1"/>
    <col min="3842" max="3842" width="12.7109375" style="235" customWidth="1"/>
    <col min="3843" max="3843" width="12.140625" style="235" customWidth="1"/>
    <col min="3844" max="3844" width="13.7109375" style="235" customWidth="1"/>
    <col min="3845" max="3845" width="10.42578125" style="235" bestFit="1" customWidth="1"/>
    <col min="3846" max="4096" width="8.85546875" style="235"/>
    <col min="4097" max="4097" width="34.28515625" style="235" bestFit="1" customWidth="1"/>
    <col min="4098" max="4098" width="12.7109375" style="235" customWidth="1"/>
    <col min="4099" max="4099" width="12.140625" style="235" customWidth="1"/>
    <col min="4100" max="4100" width="13.7109375" style="235" customWidth="1"/>
    <col min="4101" max="4101" width="10.42578125" style="235" bestFit="1" customWidth="1"/>
    <col min="4102" max="4352" width="8.85546875" style="235"/>
    <col min="4353" max="4353" width="34.28515625" style="235" bestFit="1" customWidth="1"/>
    <col min="4354" max="4354" width="12.7109375" style="235" customWidth="1"/>
    <col min="4355" max="4355" width="12.140625" style="235" customWidth="1"/>
    <col min="4356" max="4356" width="13.7109375" style="235" customWidth="1"/>
    <col min="4357" max="4357" width="10.42578125" style="235" bestFit="1" customWidth="1"/>
    <col min="4358" max="4608" width="8.85546875" style="235"/>
    <col min="4609" max="4609" width="34.28515625" style="235" bestFit="1" customWidth="1"/>
    <col min="4610" max="4610" width="12.7109375" style="235" customWidth="1"/>
    <col min="4611" max="4611" width="12.140625" style="235" customWidth="1"/>
    <col min="4612" max="4612" width="13.7109375" style="235" customWidth="1"/>
    <col min="4613" max="4613" width="10.42578125" style="235" bestFit="1" customWidth="1"/>
    <col min="4614" max="4864" width="8.85546875" style="235"/>
    <col min="4865" max="4865" width="34.28515625" style="235" bestFit="1" customWidth="1"/>
    <col min="4866" max="4866" width="12.7109375" style="235" customWidth="1"/>
    <col min="4867" max="4867" width="12.140625" style="235" customWidth="1"/>
    <col min="4868" max="4868" width="13.7109375" style="235" customWidth="1"/>
    <col min="4869" max="4869" width="10.42578125" style="235" bestFit="1" customWidth="1"/>
    <col min="4870" max="5120" width="8.85546875" style="235"/>
    <col min="5121" max="5121" width="34.28515625" style="235" bestFit="1" customWidth="1"/>
    <col min="5122" max="5122" width="12.7109375" style="235" customWidth="1"/>
    <col min="5123" max="5123" width="12.140625" style="235" customWidth="1"/>
    <col min="5124" max="5124" width="13.7109375" style="235" customWidth="1"/>
    <col min="5125" max="5125" width="10.42578125" style="235" bestFit="1" customWidth="1"/>
    <col min="5126" max="5376" width="8.85546875" style="235"/>
    <col min="5377" max="5377" width="34.28515625" style="235" bestFit="1" customWidth="1"/>
    <col min="5378" max="5378" width="12.7109375" style="235" customWidth="1"/>
    <col min="5379" max="5379" width="12.140625" style="235" customWidth="1"/>
    <col min="5380" max="5380" width="13.7109375" style="235" customWidth="1"/>
    <col min="5381" max="5381" width="10.42578125" style="235" bestFit="1" customWidth="1"/>
    <col min="5382" max="5632" width="8.85546875" style="235"/>
    <col min="5633" max="5633" width="34.28515625" style="235" bestFit="1" customWidth="1"/>
    <col min="5634" max="5634" width="12.7109375" style="235" customWidth="1"/>
    <col min="5635" max="5635" width="12.140625" style="235" customWidth="1"/>
    <col min="5636" max="5636" width="13.7109375" style="235" customWidth="1"/>
    <col min="5637" max="5637" width="10.42578125" style="235" bestFit="1" customWidth="1"/>
    <col min="5638" max="5888" width="8.85546875" style="235"/>
    <col min="5889" max="5889" width="34.28515625" style="235" bestFit="1" customWidth="1"/>
    <col min="5890" max="5890" width="12.7109375" style="235" customWidth="1"/>
    <col min="5891" max="5891" width="12.140625" style="235" customWidth="1"/>
    <col min="5892" max="5892" width="13.7109375" style="235" customWidth="1"/>
    <col min="5893" max="5893" width="10.42578125" style="235" bestFit="1" customWidth="1"/>
    <col min="5894" max="6144" width="8.85546875" style="235"/>
    <col min="6145" max="6145" width="34.28515625" style="235" bestFit="1" customWidth="1"/>
    <col min="6146" max="6146" width="12.7109375" style="235" customWidth="1"/>
    <col min="6147" max="6147" width="12.140625" style="235" customWidth="1"/>
    <col min="6148" max="6148" width="13.7109375" style="235" customWidth="1"/>
    <col min="6149" max="6149" width="10.42578125" style="235" bestFit="1" customWidth="1"/>
    <col min="6150" max="6400" width="8.85546875" style="235"/>
    <col min="6401" max="6401" width="34.28515625" style="235" bestFit="1" customWidth="1"/>
    <col min="6402" max="6402" width="12.7109375" style="235" customWidth="1"/>
    <col min="6403" max="6403" width="12.140625" style="235" customWidth="1"/>
    <col min="6404" max="6404" width="13.7109375" style="235" customWidth="1"/>
    <col min="6405" max="6405" width="10.42578125" style="235" bestFit="1" customWidth="1"/>
    <col min="6406" max="6656" width="8.85546875" style="235"/>
    <col min="6657" max="6657" width="34.28515625" style="235" bestFit="1" customWidth="1"/>
    <col min="6658" max="6658" width="12.7109375" style="235" customWidth="1"/>
    <col min="6659" max="6659" width="12.140625" style="235" customWidth="1"/>
    <col min="6660" max="6660" width="13.7109375" style="235" customWidth="1"/>
    <col min="6661" max="6661" width="10.42578125" style="235" bestFit="1" customWidth="1"/>
    <col min="6662" max="6912" width="8.85546875" style="235"/>
    <col min="6913" max="6913" width="34.28515625" style="235" bestFit="1" customWidth="1"/>
    <col min="6914" max="6914" width="12.7109375" style="235" customWidth="1"/>
    <col min="6915" max="6915" width="12.140625" style="235" customWidth="1"/>
    <col min="6916" max="6916" width="13.7109375" style="235" customWidth="1"/>
    <col min="6917" max="6917" width="10.42578125" style="235" bestFit="1" customWidth="1"/>
    <col min="6918" max="7168" width="8.85546875" style="235"/>
    <col min="7169" max="7169" width="34.28515625" style="235" bestFit="1" customWidth="1"/>
    <col min="7170" max="7170" width="12.7109375" style="235" customWidth="1"/>
    <col min="7171" max="7171" width="12.140625" style="235" customWidth="1"/>
    <col min="7172" max="7172" width="13.7109375" style="235" customWidth="1"/>
    <col min="7173" max="7173" width="10.42578125" style="235" bestFit="1" customWidth="1"/>
    <col min="7174" max="7424" width="8.85546875" style="235"/>
    <col min="7425" max="7425" width="34.28515625" style="235" bestFit="1" customWidth="1"/>
    <col min="7426" max="7426" width="12.7109375" style="235" customWidth="1"/>
    <col min="7427" max="7427" width="12.140625" style="235" customWidth="1"/>
    <col min="7428" max="7428" width="13.7109375" style="235" customWidth="1"/>
    <col min="7429" max="7429" width="10.42578125" style="235" bestFit="1" customWidth="1"/>
    <col min="7430" max="7680" width="8.85546875" style="235"/>
    <col min="7681" max="7681" width="34.28515625" style="235" bestFit="1" customWidth="1"/>
    <col min="7682" max="7682" width="12.7109375" style="235" customWidth="1"/>
    <col min="7683" max="7683" width="12.140625" style="235" customWidth="1"/>
    <col min="7684" max="7684" width="13.7109375" style="235" customWidth="1"/>
    <col min="7685" max="7685" width="10.42578125" style="235" bestFit="1" customWidth="1"/>
    <col min="7686" max="7936" width="8.85546875" style="235"/>
    <col min="7937" max="7937" width="34.28515625" style="235" bestFit="1" customWidth="1"/>
    <col min="7938" max="7938" width="12.7109375" style="235" customWidth="1"/>
    <col min="7939" max="7939" width="12.140625" style="235" customWidth="1"/>
    <col min="7940" max="7940" width="13.7109375" style="235" customWidth="1"/>
    <col min="7941" max="7941" width="10.42578125" style="235" bestFit="1" customWidth="1"/>
    <col min="7942" max="8192" width="8.85546875" style="235"/>
    <col min="8193" max="8193" width="34.28515625" style="235" bestFit="1" customWidth="1"/>
    <col min="8194" max="8194" width="12.7109375" style="235" customWidth="1"/>
    <col min="8195" max="8195" width="12.140625" style="235" customWidth="1"/>
    <col min="8196" max="8196" width="13.7109375" style="235" customWidth="1"/>
    <col min="8197" max="8197" width="10.42578125" style="235" bestFit="1" customWidth="1"/>
    <col min="8198" max="8448" width="8.85546875" style="235"/>
    <col min="8449" max="8449" width="34.28515625" style="235" bestFit="1" customWidth="1"/>
    <col min="8450" max="8450" width="12.7109375" style="235" customWidth="1"/>
    <col min="8451" max="8451" width="12.140625" style="235" customWidth="1"/>
    <col min="8452" max="8452" width="13.7109375" style="235" customWidth="1"/>
    <col min="8453" max="8453" width="10.42578125" style="235" bestFit="1" customWidth="1"/>
    <col min="8454" max="8704" width="8.85546875" style="235"/>
    <col min="8705" max="8705" width="34.28515625" style="235" bestFit="1" customWidth="1"/>
    <col min="8706" max="8706" width="12.7109375" style="235" customWidth="1"/>
    <col min="8707" max="8707" width="12.140625" style="235" customWidth="1"/>
    <col min="8708" max="8708" width="13.7109375" style="235" customWidth="1"/>
    <col min="8709" max="8709" width="10.42578125" style="235" bestFit="1" customWidth="1"/>
    <col min="8710" max="8960" width="8.85546875" style="235"/>
    <col min="8961" max="8961" width="34.28515625" style="235" bestFit="1" customWidth="1"/>
    <col min="8962" max="8962" width="12.7109375" style="235" customWidth="1"/>
    <col min="8963" max="8963" width="12.140625" style="235" customWidth="1"/>
    <col min="8964" max="8964" width="13.7109375" style="235" customWidth="1"/>
    <col min="8965" max="8965" width="10.42578125" style="235" bestFit="1" customWidth="1"/>
    <col min="8966" max="9216" width="8.85546875" style="235"/>
    <col min="9217" max="9217" width="34.28515625" style="235" bestFit="1" customWidth="1"/>
    <col min="9218" max="9218" width="12.7109375" style="235" customWidth="1"/>
    <col min="9219" max="9219" width="12.140625" style="235" customWidth="1"/>
    <col min="9220" max="9220" width="13.7109375" style="235" customWidth="1"/>
    <col min="9221" max="9221" width="10.42578125" style="235" bestFit="1" customWidth="1"/>
    <col min="9222" max="9472" width="8.85546875" style="235"/>
    <col min="9473" max="9473" width="34.28515625" style="235" bestFit="1" customWidth="1"/>
    <col min="9474" max="9474" width="12.7109375" style="235" customWidth="1"/>
    <col min="9475" max="9475" width="12.140625" style="235" customWidth="1"/>
    <col min="9476" max="9476" width="13.7109375" style="235" customWidth="1"/>
    <col min="9477" max="9477" width="10.42578125" style="235" bestFit="1" customWidth="1"/>
    <col min="9478" max="9728" width="8.85546875" style="235"/>
    <col min="9729" max="9729" width="34.28515625" style="235" bestFit="1" customWidth="1"/>
    <col min="9730" max="9730" width="12.7109375" style="235" customWidth="1"/>
    <col min="9731" max="9731" width="12.140625" style="235" customWidth="1"/>
    <col min="9732" max="9732" width="13.7109375" style="235" customWidth="1"/>
    <col min="9733" max="9733" width="10.42578125" style="235" bestFit="1" customWidth="1"/>
    <col min="9734" max="9984" width="8.85546875" style="235"/>
    <col min="9985" max="9985" width="34.28515625" style="235" bestFit="1" customWidth="1"/>
    <col min="9986" max="9986" width="12.7109375" style="235" customWidth="1"/>
    <col min="9987" max="9987" width="12.140625" style="235" customWidth="1"/>
    <col min="9988" max="9988" width="13.7109375" style="235" customWidth="1"/>
    <col min="9989" max="9989" width="10.42578125" style="235" bestFit="1" customWidth="1"/>
    <col min="9990" max="10240" width="8.85546875" style="235"/>
    <col min="10241" max="10241" width="34.28515625" style="235" bestFit="1" customWidth="1"/>
    <col min="10242" max="10242" width="12.7109375" style="235" customWidth="1"/>
    <col min="10243" max="10243" width="12.140625" style="235" customWidth="1"/>
    <col min="10244" max="10244" width="13.7109375" style="235" customWidth="1"/>
    <col min="10245" max="10245" width="10.42578125" style="235" bestFit="1" customWidth="1"/>
    <col min="10246" max="10496" width="8.85546875" style="235"/>
    <col min="10497" max="10497" width="34.28515625" style="235" bestFit="1" customWidth="1"/>
    <col min="10498" max="10498" width="12.7109375" style="235" customWidth="1"/>
    <col min="10499" max="10499" width="12.140625" style="235" customWidth="1"/>
    <col min="10500" max="10500" width="13.7109375" style="235" customWidth="1"/>
    <col min="10501" max="10501" width="10.42578125" style="235" bestFit="1" customWidth="1"/>
    <col min="10502" max="10752" width="8.85546875" style="235"/>
    <col min="10753" max="10753" width="34.28515625" style="235" bestFit="1" customWidth="1"/>
    <col min="10754" max="10754" width="12.7109375" style="235" customWidth="1"/>
    <col min="10755" max="10755" width="12.140625" style="235" customWidth="1"/>
    <col min="10756" max="10756" width="13.7109375" style="235" customWidth="1"/>
    <col min="10757" max="10757" width="10.42578125" style="235" bestFit="1" customWidth="1"/>
    <col min="10758" max="11008" width="8.85546875" style="235"/>
    <col min="11009" max="11009" width="34.28515625" style="235" bestFit="1" customWidth="1"/>
    <col min="11010" max="11010" width="12.7109375" style="235" customWidth="1"/>
    <col min="11011" max="11011" width="12.140625" style="235" customWidth="1"/>
    <col min="11012" max="11012" width="13.7109375" style="235" customWidth="1"/>
    <col min="11013" max="11013" width="10.42578125" style="235" bestFit="1" customWidth="1"/>
    <col min="11014" max="11264" width="8.85546875" style="235"/>
    <col min="11265" max="11265" width="34.28515625" style="235" bestFit="1" customWidth="1"/>
    <col min="11266" max="11266" width="12.7109375" style="235" customWidth="1"/>
    <col min="11267" max="11267" width="12.140625" style="235" customWidth="1"/>
    <col min="11268" max="11268" width="13.7109375" style="235" customWidth="1"/>
    <col min="11269" max="11269" width="10.42578125" style="235" bestFit="1" customWidth="1"/>
    <col min="11270" max="11520" width="8.85546875" style="235"/>
    <col min="11521" max="11521" width="34.28515625" style="235" bestFit="1" customWidth="1"/>
    <col min="11522" max="11522" width="12.7109375" style="235" customWidth="1"/>
    <col min="11523" max="11523" width="12.140625" style="235" customWidth="1"/>
    <col min="11524" max="11524" width="13.7109375" style="235" customWidth="1"/>
    <col min="11525" max="11525" width="10.42578125" style="235" bestFit="1" customWidth="1"/>
    <col min="11526" max="11776" width="8.85546875" style="235"/>
    <col min="11777" max="11777" width="34.28515625" style="235" bestFit="1" customWidth="1"/>
    <col min="11778" max="11778" width="12.7109375" style="235" customWidth="1"/>
    <col min="11779" max="11779" width="12.140625" style="235" customWidth="1"/>
    <col min="11780" max="11780" width="13.7109375" style="235" customWidth="1"/>
    <col min="11781" max="11781" width="10.42578125" style="235" bestFit="1" customWidth="1"/>
    <col min="11782" max="12032" width="8.85546875" style="235"/>
    <col min="12033" max="12033" width="34.28515625" style="235" bestFit="1" customWidth="1"/>
    <col min="12034" max="12034" width="12.7109375" style="235" customWidth="1"/>
    <col min="12035" max="12035" width="12.140625" style="235" customWidth="1"/>
    <col min="12036" max="12036" width="13.7109375" style="235" customWidth="1"/>
    <col min="12037" max="12037" width="10.42578125" style="235" bestFit="1" customWidth="1"/>
    <col min="12038" max="12288" width="8.85546875" style="235"/>
    <col min="12289" max="12289" width="34.28515625" style="235" bestFit="1" customWidth="1"/>
    <col min="12290" max="12290" width="12.7109375" style="235" customWidth="1"/>
    <col min="12291" max="12291" width="12.140625" style="235" customWidth="1"/>
    <col min="12292" max="12292" width="13.7109375" style="235" customWidth="1"/>
    <col min="12293" max="12293" width="10.42578125" style="235" bestFit="1" customWidth="1"/>
    <col min="12294" max="12544" width="8.85546875" style="235"/>
    <col min="12545" max="12545" width="34.28515625" style="235" bestFit="1" customWidth="1"/>
    <col min="12546" max="12546" width="12.7109375" style="235" customWidth="1"/>
    <col min="12547" max="12547" width="12.140625" style="235" customWidth="1"/>
    <col min="12548" max="12548" width="13.7109375" style="235" customWidth="1"/>
    <col min="12549" max="12549" width="10.42578125" style="235" bestFit="1" customWidth="1"/>
    <col min="12550" max="12800" width="8.85546875" style="235"/>
    <col min="12801" max="12801" width="34.28515625" style="235" bestFit="1" customWidth="1"/>
    <col min="12802" max="12802" width="12.7109375" style="235" customWidth="1"/>
    <col min="12803" max="12803" width="12.140625" style="235" customWidth="1"/>
    <col min="12804" max="12804" width="13.7109375" style="235" customWidth="1"/>
    <col min="12805" max="12805" width="10.42578125" style="235" bestFit="1" customWidth="1"/>
    <col min="12806" max="13056" width="8.85546875" style="235"/>
    <col min="13057" max="13057" width="34.28515625" style="235" bestFit="1" customWidth="1"/>
    <col min="13058" max="13058" width="12.7109375" style="235" customWidth="1"/>
    <col min="13059" max="13059" width="12.140625" style="235" customWidth="1"/>
    <col min="13060" max="13060" width="13.7109375" style="235" customWidth="1"/>
    <col min="13061" max="13061" width="10.42578125" style="235" bestFit="1" customWidth="1"/>
    <col min="13062" max="13312" width="8.85546875" style="235"/>
    <col min="13313" max="13313" width="34.28515625" style="235" bestFit="1" customWidth="1"/>
    <col min="13314" max="13314" width="12.7109375" style="235" customWidth="1"/>
    <col min="13315" max="13315" width="12.140625" style="235" customWidth="1"/>
    <col min="13316" max="13316" width="13.7109375" style="235" customWidth="1"/>
    <col min="13317" max="13317" width="10.42578125" style="235" bestFit="1" customWidth="1"/>
    <col min="13318" max="13568" width="8.85546875" style="235"/>
    <col min="13569" max="13569" width="34.28515625" style="235" bestFit="1" customWidth="1"/>
    <col min="13570" max="13570" width="12.7109375" style="235" customWidth="1"/>
    <col min="13571" max="13571" width="12.140625" style="235" customWidth="1"/>
    <col min="13572" max="13572" width="13.7109375" style="235" customWidth="1"/>
    <col min="13573" max="13573" width="10.42578125" style="235" bestFit="1" customWidth="1"/>
    <col min="13574" max="13824" width="8.85546875" style="235"/>
    <col min="13825" max="13825" width="34.28515625" style="235" bestFit="1" customWidth="1"/>
    <col min="13826" max="13826" width="12.7109375" style="235" customWidth="1"/>
    <col min="13827" max="13827" width="12.140625" style="235" customWidth="1"/>
    <col min="13828" max="13828" width="13.7109375" style="235" customWidth="1"/>
    <col min="13829" max="13829" width="10.42578125" style="235" bestFit="1" customWidth="1"/>
    <col min="13830" max="14080" width="8.85546875" style="235"/>
    <col min="14081" max="14081" width="34.28515625" style="235" bestFit="1" customWidth="1"/>
    <col min="14082" max="14082" width="12.7109375" style="235" customWidth="1"/>
    <col min="14083" max="14083" width="12.140625" style="235" customWidth="1"/>
    <col min="14084" max="14084" width="13.7109375" style="235" customWidth="1"/>
    <col min="14085" max="14085" width="10.42578125" style="235" bestFit="1" customWidth="1"/>
    <col min="14086" max="14336" width="8.85546875" style="235"/>
    <col min="14337" max="14337" width="34.28515625" style="235" bestFit="1" customWidth="1"/>
    <col min="14338" max="14338" width="12.7109375" style="235" customWidth="1"/>
    <col min="14339" max="14339" width="12.140625" style="235" customWidth="1"/>
    <col min="14340" max="14340" width="13.7109375" style="235" customWidth="1"/>
    <col min="14341" max="14341" width="10.42578125" style="235" bestFit="1" customWidth="1"/>
    <col min="14342" max="14592" width="8.85546875" style="235"/>
    <col min="14593" max="14593" width="34.28515625" style="235" bestFit="1" customWidth="1"/>
    <col min="14594" max="14594" width="12.7109375" style="235" customWidth="1"/>
    <col min="14595" max="14595" width="12.140625" style="235" customWidth="1"/>
    <col min="14596" max="14596" width="13.7109375" style="235" customWidth="1"/>
    <col min="14597" max="14597" width="10.42578125" style="235" bestFit="1" customWidth="1"/>
    <col min="14598" max="14848" width="8.85546875" style="235"/>
    <col min="14849" max="14849" width="34.28515625" style="235" bestFit="1" customWidth="1"/>
    <col min="14850" max="14850" width="12.7109375" style="235" customWidth="1"/>
    <col min="14851" max="14851" width="12.140625" style="235" customWidth="1"/>
    <col min="14852" max="14852" width="13.7109375" style="235" customWidth="1"/>
    <col min="14853" max="14853" width="10.42578125" style="235" bestFit="1" customWidth="1"/>
    <col min="14854" max="15104" width="8.85546875" style="235"/>
    <col min="15105" max="15105" width="34.28515625" style="235" bestFit="1" customWidth="1"/>
    <col min="15106" max="15106" width="12.7109375" style="235" customWidth="1"/>
    <col min="15107" max="15107" width="12.140625" style="235" customWidth="1"/>
    <col min="15108" max="15108" width="13.7109375" style="235" customWidth="1"/>
    <col min="15109" max="15109" width="10.42578125" style="235" bestFit="1" customWidth="1"/>
    <col min="15110" max="15360" width="8.85546875" style="235"/>
    <col min="15361" max="15361" width="34.28515625" style="235" bestFit="1" customWidth="1"/>
    <col min="15362" max="15362" width="12.7109375" style="235" customWidth="1"/>
    <col min="15363" max="15363" width="12.140625" style="235" customWidth="1"/>
    <col min="15364" max="15364" width="13.7109375" style="235" customWidth="1"/>
    <col min="15365" max="15365" width="10.42578125" style="235" bestFit="1" customWidth="1"/>
    <col min="15366" max="15616" width="8.85546875" style="235"/>
    <col min="15617" max="15617" width="34.28515625" style="235" bestFit="1" customWidth="1"/>
    <col min="15618" max="15618" width="12.7109375" style="235" customWidth="1"/>
    <col min="15619" max="15619" width="12.140625" style="235" customWidth="1"/>
    <col min="15620" max="15620" width="13.7109375" style="235" customWidth="1"/>
    <col min="15621" max="15621" width="10.42578125" style="235" bestFit="1" customWidth="1"/>
    <col min="15622" max="15872" width="8.85546875" style="235"/>
    <col min="15873" max="15873" width="34.28515625" style="235" bestFit="1" customWidth="1"/>
    <col min="15874" max="15874" width="12.7109375" style="235" customWidth="1"/>
    <col min="15875" max="15875" width="12.140625" style="235" customWidth="1"/>
    <col min="15876" max="15876" width="13.7109375" style="235" customWidth="1"/>
    <col min="15877" max="15877" width="10.42578125" style="235" bestFit="1" customWidth="1"/>
    <col min="15878" max="16128" width="8.85546875" style="235"/>
    <col min="16129" max="16129" width="34.28515625" style="235" bestFit="1" customWidth="1"/>
    <col min="16130" max="16130" width="12.7109375" style="235" customWidth="1"/>
    <col min="16131" max="16131" width="12.140625" style="235" customWidth="1"/>
    <col min="16132" max="16132" width="13.7109375" style="235" customWidth="1"/>
    <col min="16133" max="16133" width="10.42578125" style="235" bestFit="1" customWidth="1"/>
    <col min="16134" max="16384" width="8.85546875" style="235"/>
  </cols>
  <sheetData>
    <row r="1" spans="1:6" x14ac:dyDescent="0.25">
      <c r="A1" s="707" t="s">
        <v>263</v>
      </c>
      <c r="B1" s="709" t="s">
        <v>264</v>
      </c>
      <c r="C1" s="709" t="s">
        <v>265</v>
      </c>
      <c r="D1" s="324" t="s">
        <v>266</v>
      </c>
    </row>
    <row r="2" spans="1:6" ht="15.75" thickBot="1" x14ac:dyDescent="0.3">
      <c r="A2" s="708"/>
      <c r="B2" s="710"/>
      <c r="C2" s="710"/>
      <c r="D2" s="325" t="s">
        <v>267</v>
      </c>
    </row>
    <row r="3" spans="1:6" ht="15.75" thickBot="1" x14ac:dyDescent="0.3">
      <c r="A3" s="276" t="s">
        <v>268</v>
      </c>
      <c r="B3" s="326" t="e">
        <f>#REF!</f>
        <v>#REF!</v>
      </c>
      <c r="C3" s="326" t="e">
        <f>#REF!</f>
        <v>#REF!</v>
      </c>
      <c r="D3" s="327" t="e">
        <f>C3-B3</f>
        <v>#REF!</v>
      </c>
    </row>
    <row r="4" spans="1:6" ht="15.75" thickBot="1" x14ac:dyDescent="0.3">
      <c r="A4" s="277"/>
      <c r="B4" s="328"/>
      <c r="C4" s="328"/>
      <c r="D4" s="325"/>
    </row>
    <row r="5" spans="1:6" ht="15.75" thickBot="1" x14ac:dyDescent="0.3">
      <c r="A5" s="277" t="s">
        <v>269</v>
      </c>
      <c r="B5" s="329"/>
      <c r="C5" s="329"/>
      <c r="D5" s="325"/>
      <c r="F5" s="46"/>
    </row>
    <row r="6" spans="1:6" ht="15.75" thickBot="1" x14ac:dyDescent="0.3">
      <c r="A6" s="277" t="s">
        <v>270</v>
      </c>
      <c r="B6" s="329"/>
      <c r="C6" s="329"/>
      <c r="D6" s="325"/>
      <c r="E6" s="46"/>
    </row>
    <row r="7" spans="1:6" ht="15.75" thickBot="1" x14ac:dyDescent="0.3">
      <c r="A7" s="277"/>
      <c r="B7" s="330"/>
      <c r="C7" s="330"/>
      <c r="D7" s="325"/>
      <c r="E7" s="46"/>
      <c r="F7" s="46"/>
    </row>
    <row r="8" spans="1:6" ht="15.75" thickBot="1" x14ac:dyDescent="0.3">
      <c r="A8" s="279" t="s">
        <v>271</v>
      </c>
      <c r="B8" s="330"/>
      <c r="C8" s="330"/>
      <c r="D8" s="325"/>
    </row>
    <row r="9" spans="1:6" ht="15.75" thickBot="1" x14ac:dyDescent="0.3">
      <c r="A9" s="280" t="s">
        <v>272</v>
      </c>
      <c r="B9" s="331"/>
      <c r="C9" s="332"/>
      <c r="D9" s="325"/>
    </row>
    <row r="10" spans="1:6" ht="15.75" thickBot="1" x14ac:dyDescent="0.3">
      <c r="A10" s="280" t="s">
        <v>273</v>
      </c>
      <c r="B10" s="333"/>
      <c r="C10" s="325"/>
      <c r="D10" s="325"/>
    </row>
    <row r="11" spans="1:6" ht="15.75" thickBot="1" x14ac:dyDescent="0.3">
      <c r="A11" s="280" t="s">
        <v>274</v>
      </c>
      <c r="B11" s="325"/>
      <c r="C11" s="325"/>
      <c r="D11" s="325"/>
    </row>
    <row r="12" spans="1:6" ht="15.75" thickBot="1" x14ac:dyDescent="0.3">
      <c r="A12" s="280"/>
      <c r="B12" s="330"/>
      <c r="C12" s="330"/>
      <c r="D12" s="325"/>
    </row>
    <row r="13" spans="1:6" ht="15.75" thickBot="1" x14ac:dyDescent="0.3">
      <c r="A13" s="279" t="s">
        <v>275</v>
      </c>
      <c r="B13" s="330"/>
      <c r="C13" s="330"/>
      <c r="D13" s="325"/>
    </row>
    <row r="14" spans="1:6" ht="15.75" thickBot="1" x14ac:dyDescent="0.3">
      <c r="A14" s="277" t="s">
        <v>276</v>
      </c>
      <c r="B14" s="325"/>
      <c r="C14" s="325"/>
      <c r="D14" s="325"/>
    </row>
    <row r="15" spans="1:6" ht="15.75" thickBot="1" x14ac:dyDescent="0.3">
      <c r="A15" s="277" t="s">
        <v>277</v>
      </c>
      <c r="B15" s="325"/>
      <c r="C15" s="325"/>
      <c r="D15" s="325"/>
    </row>
    <row r="16" spans="1:6" ht="15.75" thickBot="1" x14ac:dyDescent="0.3">
      <c r="A16" s="277" t="s">
        <v>278</v>
      </c>
      <c r="B16" s="325"/>
      <c r="C16" s="325"/>
      <c r="D16" s="325"/>
    </row>
    <row r="23" spans="1:1" x14ac:dyDescent="0.25">
      <c r="A23" s="235" t="s">
        <v>279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5" zoomScale="120" zoomScaleNormal="120" workbookViewId="0">
      <selection activeCell="A48" sqref="A48"/>
    </sheetView>
  </sheetViews>
  <sheetFormatPr defaultRowHeight="15" x14ac:dyDescent="0.25"/>
  <cols>
    <col min="1" max="1" width="54" style="235" customWidth="1"/>
    <col min="2" max="2" width="11.42578125" style="364" bestFit="1" customWidth="1"/>
    <col min="3" max="3" width="11.140625" style="364" bestFit="1" customWidth="1"/>
    <col min="4" max="4" width="10.7109375" style="235" bestFit="1" customWidth="1"/>
    <col min="5" max="256" width="8.85546875" style="235"/>
    <col min="257" max="257" width="54" style="235" customWidth="1"/>
    <col min="258" max="258" width="11.42578125" style="235" bestFit="1" customWidth="1"/>
    <col min="259" max="259" width="11.140625" style="235" bestFit="1" customWidth="1"/>
    <col min="260" max="260" width="10.7109375" style="235" bestFit="1" customWidth="1"/>
    <col min="261" max="512" width="8.85546875" style="235"/>
    <col min="513" max="513" width="54" style="235" customWidth="1"/>
    <col min="514" max="514" width="11.42578125" style="235" bestFit="1" customWidth="1"/>
    <col min="515" max="515" width="11.140625" style="235" bestFit="1" customWidth="1"/>
    <col min="516" max="516" width="10.7109375" style="235" bestFit="1" customWidth="1"/>
    <col min="517" max="768" width="8.85546875" style="235"/>
    <col min="769" max="769" width="54" style="235" customWidth="1"/>
    <col min="770" max="770" width="11.42578125" style="235" bestFit="1" customWidth="1"/>
    <col min="771" max="771" width="11.140625" style="235" bestFit="1" customWidth="1"/>
    <col min="772" max="772" width="10.7109375" style="235" bestFit="1" customWidth="1"/>
    <col min="773" max="1024" width="8.85546875" style="235"/>
    <col min="1025" max="1025" width="54" style="235" customWidth="1"/>
    <col min="1026" max="1026" width="11.42578125" style="235" bestFit="1" customWidth="1"/>
    <col min="1027" max="1027" width="11.140625" style="235" bestFit="1" customWidth="1"/>
    <col min="1028" max="1028" width="10.7109375" style="235" bestFit="1" customWidth="1"/>
    <col min="1029" max="1280" width="8.85546875" style="235"/>
    <col min="1281" max="1281" width="54" style="235" customWidth="1"/>
    <col min="1282" max="1282" width="11.42578125" style="235" bestFit="1" customWidth="1"/>
    <col min="1283" max="1283" width="11.140625" style="235" bestFit="1" customWidth="1"/>
    <col min="1284" max="1284" width="10.7109375" style="235" bestFit="1" customWidth="1"/>
    <col min="1285" max="1536" width="8.85546875" style="235"/>
    <col min="1537" max="1537" width="54" style="235" customWidth="1"/>
    <col min="1538" max="1538" width="11.42578125" style="235" bestFit="1" customWidth="1"/>
    <col min="1539" max="1539" width="11.140625" style="235" bestFit="1" customWidth="1"/>
    <col min="1540" max="1540" width="10.7109375" style="235" bestFit="1" customWidth="1"/>
    <col min="1541" max="1792" width="8.85546875" style="235"/>
    <col min="1793" max="1793" width="54" style="235" customWidth="1"/>
    <col min="1794" max="1794" width="11.42578125" style="235" bestFit="1" customWidth="1"/>
    <col min="1795" max="1795" width="11.140625" style="235" bestFit="1" customWidth="1"/>
    <col min="1796" max="1796" width="10.7109375" style="235" bestFit="1" customWidth="1"/>
    <col min="1797" max="2048" width="8.85546875" style="235"/>
    <col min="2049" max="2049" width="54" style="235" customWidth="1"/>
    <col min="2050" max="2050" width="11.42578125" style="235" bestFit="1" customWidth="1"/>
    <col min="2051" max="2051" width="11.140625" style="235" bestFit="1" customWidth="1"/>
    <col min="2052" max="2052" width="10.7109375" style="235" bestFit="1" customWidth="1"/>
    <col min="2053" max="2304" width="8.85546875" style="235"/>
    <col min="2305" max="2305" width="54" style="235" customWidth="1"/>
    <col min="2306" max="2306" width="11.42578125" style="235" bestFit="1" customWidth="1"/>
    <col min="2307" max="2307" width="11.140625" style="235" bestFit="1" customWidth="1"/>
    <col min="2308" max="2308" width="10.7109375" style="235" bestFit="1" customWidth="1"/>
    <col min="2309" max="2560" width="8.85546875" style="235"/>
    <col min="2561" max="2561" width="54" style="235" customWidth="1"/>
    <col min="2562" max="2562" width="11.42578125" style="235" bestFit="1" customWidth="1"/>
    <col min="2563" max="2563" width="11.140625" style="235" bestFit="1" customWidth="1"/>
    <col min="2564" max="2564" width="10.7109375" style="235" bestFit="1" customWidth="1"/>
    <col min="2565" max="2816" width="8.85546875" style="235"/>
    <col min="2817" max="2817" width="54" style="235" customWidth="1"/>
    <col min="2818" max="2818" width="11.42578125" style="235" bestFit="1" customWidth="1"/>
    <col min="2819" max="2819" width="11.140625" style="235" bestFit="1" customWidth="1"/>
    <col min="2820" max="2820" width="10.7109375" style="235" bestFit="1" customWidth="1"/>
    <col min="2821" max="3072" width="8.85546875" style="235"/>
    <col min="3073" max="3073" width="54" style="235" customWidth="1"/>
    <col min="3074" max="3074" width="11.42578125" style="235" bestFit="1" customWidth="1"/>
    <col min="3075" max="3075" width="11.140625" style="235" bestFit="1" customWidth="1"/>
    <col min="3076" max="3076" width="10.7109375" style="235" bestFit="1" customWidth="1"/>
    <col min="3077" max="3328" width="8.85546875" style="235"/>
    <col min="3329" max="3329" width="54" style="235" customWidth="1"/>
    <col min="3330" max="3330" width="11.42578125" style="235" bestFit="1" customWidth="1"/>
    <col min="3331" max="3331" width="11.140625" style="235" bestFit="1" customWidth="1"/>
    <col min="3332" max="3332" width="10.7109375" style="235" bestFit="1" customWidth="1"/>
    <col min="3333" max="3584" width="8.85546875" style="235"/>
    <col min="3585" max="3585" width="54" style="235" customWidth="1"/>
    <col min="3586" max="3586" width="11.42578125" style="235" bestFit="1" customWidth="1"/>
    <col min="3587" max="3587" width="11.140625" style="235" bestFit="1" customWidth="1"/>
    <col min="3588" max="3588" width="10.7109375" style="235" bestFit="1" customWidth="1"/>
    <col min="3589" max="3840" width="8.85546875" style="235"/>
    <col min="3841" max="3841" width="54" style="235" customWidth="1"/>
    <col min="3842" max="3842" width="11.42578125" style="235" bestFit="1" customWidth="1"/>
    <col min="3843" max="3843" width="11.140625" style="235" bestFit="1" customWidth="1"/>
    <col min="3844" max="3844" width="10.7109375" style="235" bestFit="1" customWidth="1"/>
    <col min="3845" max="4096" width="8.85546875" style="235"/>
    <col min="4097" max="4097" width="54" style="235" customWidth="1"/>
    <col min="4098" max="4098" width="11.42578125" style="235" bestFit="1" customWidth="1"/>
    <col min="4099" max="4099" width="11.140625" style="235" bestFit="1" customWidth="1"/>
    <col min="4100" max="4100" width="10.7109375" style="235" bestFit="1" customWidth="1"/>
    <col min="4101" max="4352" width="8.85546875" style="235"/>
    <col min="4353" max="4353" width="54" style="235" customWidth="1"/>
    <col min="4354" max="4354" width="11.42578125" style="235" bestFit="1" customWidth="1"/>
    <col min="4355" max="4355" width="11.140625" style="235" bestFit="1" customWidth="1"/>
    <col min="4356" max="4356" width="10.7109375" style="235" bestFit="1" customWidth="1"/>
    <col min="4357" max="4608" width="8.85546875" style="235"/>
    <col min="4609" max="4609" width="54" style="235" customWidth="1"/>
    <col min="4610" max="4610" width="11.42578125" style="235" bestFit="1" customWidth="1"/>
    <col min="4611" max="4611" width="11.140625" style="235" bestFit="1" customWidth="1"/>
    <col min="4612" max="4612" width="10.7109375" style="235" bestFit="1" customWidth="1"/>
    <col min="4613" max="4864" width="8.85546875" style="235"/>
    <col min="4865" max="4865" width="54" style="235" customWidth="1"/>
    <col min="4866" max="4866" width="11.42578125" style="235" bestFit="1" customWidth="1"/>
    <col min="4867" max="4867" width="11.140625" style="235" bestFit="1" customWidth="1"/>
    <col min="4868" max="4868" width="10.7109375" style="235" bestFit="1" customWidth="1"/>
    <col min="4869" max="5120" width="8.85546875" style="235"/>
    <col min="5121" max="5121" width="54" style="235" customWidth="1"/>
    <col min="5122" max="5122" width="11.42578125" style="235" bestFit="1" customWidth="1"/>
    <col min="5123" max="5123" width="11.140625" style="235" bestFit="1" customWidth="1"/>
    <col min="5124" max="5124" width="10.7109375" style="235" bestFit="1" customWidth="1"/>
    <col min="5125" max="5376" width="8.85546875" style="235"/>
    <col min="5377" max="5377" width="54" style="235" customWidth="1"/>
    <col min="5378" max="5378" width="11.42578125" style="235" bestFit="1" customWidth="1"/>
    <col min="5379" max="5379" width="11.140625" style="235" bestFit="1" customWidth="1"/>
    <col min="5380" max="5380" width="10.7109375" style="235" bestFit="1" customWidth="1"/>
    <col min="5381" max="5632" width="8.85546875" style="235"/>
    <col min="5633" max="5633" width="54" style="235" customWidth="1"/>
    <col min="5634" max="5634" width="11.42578125" style="235" bestFit="1" customWidth="1"/>
    <col min="5635" max="5635" width="11.140625" style="235" bestFit="1" customWidth="1"/>
    <col min="5636" max="5636" width="10.7109375" style="235" bestFit="1" customWidth="1"/>
    <col min="5637" max="5888" width="8.85546875" style="235"/>
    <col min="5889" max="5889" width="54" style="235" customWidth="1"/>
    <col min="5890" max="5890" width="11.42578125" style="235" bestFit="1" customWidth="1"/>
    <col min="5891" max="5891" width="11.140625" style="235" bestFit="1" customWidth="1"/>
    <col min="5892" max="5892" width="10.7109375" style="235" bestFit="1" customWidth="1"/>
    <col min="5893" max="6144" width="8.85546875" style="235"/>
    <col min="6145" max="6145" width="54" style="235" customWidth="1"/>
    <col min="6146" max="6146" width="11.42578125" style="235" bestFit="1" customWidth="1"/>
    <col min="6147" max="6147" width="11.140625" style="235" bestFit="1" customWidth="1"/>
    <col min="6148" max="6148" width="10.7109375" style="235" bestFit="1" customWidth="1"/>
    <col min="6149" max="6400" width="8.85546875" style="235"/>
    <col min="6401" max="6401" width="54" style="235" customWidth="1"/>
    <col min="6402" max="6402" width="11.42578125" style="235" bestFit="1" customWidth="1"/>
    <col min="6403" max="6403" width="11.140625" style="235" bestFit="1" customWidth="1"/>
    <col min="6404" max="6404" width="10.7109375" style="235" bestFit="1" customWidth="1"/>
    <col min="6405" max="6656" width="8.85546875" style="235"/>
    <col min="6657" max="6657" width="54" style="235" customWidth="1"/>
    <col min="6658" max="6658" width="11.42578125" style="235" bestFit="1" customWidth="1"/>
    <col min="6659" max="6659" width="11.140625" style="235" bestFit="1" customWidth="1"/>
    <col min="6660" max="6660" width="10.7109375" style="235" bestFit="1" customWidth="1"/>
    <col min="6661" max="6912" width="8.85546875" style="235"/>
    <col min="6913" max="6913" width="54" style="235" customWidth="1"/>
    <col min="6914" max="6914" width="11.42578125" style="235" bestFit="1" customWidth="1"/>
    <col min="6915" max="6915" width="11.140625" style="235" bestFit="1" customWidth="1"/>
    <col min="6916" max="6916" width="10.7109375" style="235" bestFit="1" customWidth="1"/>
    <col min="6917" max="7168" width="8.85546875" style="235"/>
    <col min="7169" max="7169" width="54" style="235" customWidth="1"/>
    <col min="7170" max="7170" width="11.42578125" style="235" bestFit="1" customWidth="1"/>
    <col min="7171" max="7171" width="11.140625" style="235" bestFit="1" customWidth="1"/>
    <col min="7172" max="7172" width="10.7109375" style="235" bestFit="1" customWidth="1"/>
    <col min="7173" max="7424" width="8.85546875" style="235"/>
    <col min="7425" max="7425" width="54" style="235" customWidth="1"/>
    <col min="7426" max="7426" width="11.42578125" style="235" bestFit="1" customWidth="1"/>
    <col min="7427" max="7427" width="11.140625" style="235" bestFit="1" customWidth="1"/>
    <col min="7428" max="7428" width="10.7109375" style="235" bestFit="1" customWidth="1"/>
    <col min="7429" max="7680" width="8.85546875" style="235"/>
    <col min="7681" max="7681" width="54" style="235" customWidth="1"/>
    <col min="7682" max="7682" width="11.42578125" style="235" bestFit="1" customWidth="1"/>
    <col min="7683" max="7683" width="11.140625" style="235" bestFit="1" customWidth="1"/>
    <col min="7684" max="7684" width="10.7109375" style="235" bestFit="1" customWidth="1"/>
    <col min="7685" max="7936" width="8.85546875" style="235"/>
    <col min="7937" max="7937" width="54" style="235" customWidth="1"/>
    <col min="7938" max="7938" width="11.42578125" style="235" bestFit="1" customWidth="1"/>
    <col min="7939" max="7939" width="11.140625" style="235" bestFit="1" customWidth="1"/>
    <col min="7940" max="7940" width="10.7109375" style="235" bestFit="1" customWidth="1"/>
    <col min="7941" max="8192" width="8.85546875" style="235"/>
    <col min="8193" max="8193" width="54" style="235" customWidth="1"/>
    <col min="8194" max="8194" width="11.42578125" style="235" bestFit="1" customWidth="1"/>
    <col min="8195" max="8195" width="11.140625" style="235" bestFit="1" customWidth="1"/>
    <col min="8196" max="8196" width="10.7109375" style="235" bestFit="1" customWidth="1"/>
    <col min="8197" max="8448" width="8.85546875" style="235"/>
    <col min="8449" max="8449" width="54" style="235" customWidth="1"/>
    <col min="8450" max="8450" width="11.42578125" style="235" bestFit="1" customWidth="1"/>
    <col min="8451" max="8451" width="11.140625" style="235" bestFit="1" customWidth="1"/>
    <col min="8452" max="8452" width="10.7109375" style="235" bestFit="1" customWidth="1"/>
    <col min="8453" max="8704" width="8.85546875" style="235"/>
    <col min="8705" max="8705" width="54" style="235" customWidth="1"/>
    <col min="8706" max="8706" width="11.42578125" style="235" bestFit="1" customWidth="1"/>
    <col min="8707" max="8707" width="11.140625" style="235" bestFit="1" customWidth="1"/>
    <col min="8708" max="8708" width="10.7109375" style="235" bestFit="1" customWidth="1"/>
    <col min="8709" max="8960" width="8.85546875" style="235"/>
    <col min="8961" max="8961" width="54" style="235" customWidth="1"/>
    <col min="8962" max="8962" width="11.42578125" style="235" bestFit="1" customWidth="1"/>
    <col min="8963" max="8963" width="11.140625" style="235" bestFit="1" customWidth="1"/>
    <col min="8964" max="8964" width="10.7109375" style="235" bestFit="1" customWidth="1"/>
    <col min="8965" max="9216" width="8.85546875" style="235"/>
    <col min="9217" max="9217" width="54" style="235" customWidth="1"/>
    <col min="9218" max="9218" width="11.42578125" style="235" bestFit="1" customWidth="1"/>
    <col min="9219" max="9219" width="11.140625" style="235" bestFit="1" customWidth="1"/>
    <col min="9220" max="9220" width="10.7109375" style="235" bestFit="1" customWidth="1"/>
    <col min="9221" max="9472" width="8.85546875" style="235"/>
    <col min="9473" max="9473" width="54" style="235" customWidth="1"/>
    <col min="9474" max="9474" width="11.42578125" style="235" bestFit="1" customWidth="1"/>
    <col min="9475" max="9475" width="11.140625" style="235" bestFit="1" customWidth="1"/>
    <col min="9476" max="9476" width="10.7109375" style="235" bestFit="1" customWidth="1"/>
    <col min="9477" max="9728" width="8.85546875" style="235"/>
    <col min="9729" max="9729" width="54" style="235" customWidth="1"/>
    <col min="9730" max="9730" width="11.42578125" style="235" bestFit="1" customWidth="1"/>
    <col min="9731" max="9731" width="11.140625" style="235" bestFit="1" customWidth="1"/>
    <col min="9732" max="9732" width="10.7109375" style="235" bestFit="1" customWidth="1"/>
    <col min="9733" max="9984" width="8.85546875" style="235"/>
    <col min="9985" max="9985" width="54" style="235" customWidth="1"/>
    <col min="9986" max="9986" width="11.42578125" style="235" bestFit="1" customWidth="1"/>
    <col min="9987" max="9987" width="11.140625" style="235" bestFit="1" customWidth="1"/>
    <col min="9988" max="9988" width="10.7109375" style="235" bestFit="1" customWidth="1"/>
    <col min="9989" max="10240" width="8.85546875" style="235"/>
    <col min="10241" max="10241" width="54" style="235" customWidth="1"/>
    <col min="10242" max="10242" width="11.42578125" style="235" bestFit="1" customWidth="1"/>
    <col min="10243" max="10243" width="11.140625" style="235" bestFit="1" customWidth="1"/>
    <col min="10244" max="10244" width="10.7109375" style="235" bestFit="1" customWidth="1"/>
    <col min="10245" max="10496" width="8.85546875" style="235"/>
    <col min="10497" max="10497" width="54" style="235" customWidth="1"/>
    <col min="10498" max="10498" width="11.42578125" style="235" bestFit="1" customWidth="1"/>
    <col min="10499" max="10499" width="11.140625" style="235" bestFit="1" customWidth="1"/>
    <col min="10500" max="10500" width="10.7109375" style="235" bestFit="1" customWidth="1"/>
    <col min="10501" max="10752" width="8.85546875" style="235"/>
    <col min="10753" max="10753" width="54" style="235" customWidth="1"/>
    <col min="10754" max="10754" width="11.42578125" style="235" bestFit="1" customWidth="1"/>
    <col min="10755" max="10755" width="11.140625" style="235" bestFit="1" customWidth="1"/>
    <col min="10756" max="10756" width="10.7109375" style="235" bestFit="1" customWidth="1"/>
    <col min="10757" max="11008" width="8.85546875" style="235"/>
    <col min="11009" max="11009" width="54" style="235" customWidth="1"/>
    <col min="11010" max="11010" width="11.42578125" style="235" bestFit="1" customWidth="1"/>
    <col min="11011" max="11011" width="11.140625" style="235" bestFit="1" customWidth="1"/>
    <col min="11012" max="11012" width="10.7109375" style="235" bestFit="1" customWidth="1"/>
    <col min="11013" max="11264" width="8.85546875" style="235"/>
    <col min="11265" max="11265" width="54" style="235" customWidth="1"/>
    <col min="11266" max="11266" width="11.42578125" style="235" bestFit="1" customWidth="1"/>
    <col min="11267" max="11267" width="11.140625" style="235" bestFit="1" customWidth="1"/>
    <col min="11268" max="11268" width="10.7109375" style="235" bestFit="1" customWidth="1"/>
    <col min="11269" max="11520" width="8.85546875" style="235"/>
    <col min="11521" max="11521" width="54" style="235" customWidth="1"/>
    <col min="11522" max="11522" width="11.42578125" style="235" bestFit="1" customWidth="1"/>
    <col min="11523" max="11523" width="11.140625" style="235" bestFit="1" customWidth="1"/>
    <col min="11524" max="11524" width="10.7109375" style="235" bestFit="1" customWidth="1"/>
    <col min="11525" max="11776" width="8.85546875" style="235"/>
    <col min="11777" max="11777" width="54" style="235" customWidth="1"/>
    <col min="11778" max="11778" width="11.42578125" style="235" bestFit="1" customWidth="1"/>
    <col min="11779" max="11779" width="11.140625" style="235" bestFit="1" customWidth="1"/>
    <col min="11780" max="11780" width="10.7109375" style="235" bestFit="1" customWidth="1"/>
    <col min="11781" max="12032" width="8.85546875" style="235"/>
    <col min="12033" max="12033" width="54" style="235" customWidth="1"/>
    <col min="12034" max="12034" width="11.42578125" style="235" bestFit="1" customWidth="1"/>
    <col min="12035" max="12035" width="11.140625" style="235" bestFit="1" customWidth="1"/>
    <col min="12036" max="12036" width="10.7109375" style="235" bestFit="1" customWidth="1"/>
    <col min="12037" max="12288" width="8.85546875" style="235"/>
    <col min="12289" max="12289" width="54" style="235" customWidth="1"/>
    <col min="12290" max="12290" width="11.42578125" style="235" bestFit="1" customWidth="1"/>
    <col min="12291" max="12291" width="11.140625" style="235" bestFit="1" customWidth="1"/>
    <col min="12292" max="12292" width="10.7109375" style="235" bestFit="1" customWidth="1"/>
    <col min="12293" max="12544" width="8.85546875" style="235"/>
    <col min="12545" max="12545" width="54" style="235" customWidth="1"/>
    <col min="12546" max="12546" width="11.42578125" style="235" bestFit="1" customWidth="1"/>
    <col min="12547" max="12547" width="11.140625" style="235" bestFit="1" customWidth="1"/>
    <col min="12548" max="12548" width="10.7109375" style="235" bestFit="1" customWidth="1"/>
    <col min="12549" max="12800" width="8.85546875" style="235"/>
    <col min="12801" max="12801" width="54" style="235" customWidth="1"/>
    <col min="12802" max="12802" width="11.42578125" style="235" bestFit="1" customWidth="1"/>
    <col min="12803" max="12803" width="11.140625" style="235" bestFit="1" customWidth="1"/>
    <col min="12804" max="12804" width="10.7109375" style="235" bestFit="1" customWidth="1"/>
    <col min="12805" max="13056" width="8.85546875" style="235"/>
    <col min="13057" max="13057" width="54" style="235" customWidth="1"/>
    <col min="13058" max="13058" width="11.42578125" style="235" bestFit="1" customWidth="1"/>
    <col min="13059" max="13059" width="11.140625" style="235" bestFit="1" customWidth="1"/>
    <col min="13060" max="13060" width="10.7109375" style="235" bestFit="1" customWidth="1"/>
    <col min="13061" max="13312" width="8.85546875" style="235"/>
    <col min="13313" max="13313" width="54" style="235" customWidth="1"/>
    <col min="13314" max="13314" width="11.42578125" style="235" bestFit="1" customWidth="1"/>
    <col min="13315" max="13315" width="11.140625" style="235" bestFit="1" customWidth="1"/>
    <col min="13316" max="13316" width="10.7109375" style="235" bestFit="1" customWidth="1"/>
    <col min="13317" max="13568" width="8.85546875" style="235"/>
    <col min="13569" max="13569" width="54" style="235" customWidth="1"/>
    <col min="13570" max="13570" width="11.42578125" style="235" bestFit="1" customWidth="1"/>
    <col min="13571" max="13571" width="11.140625" style="235" bestFit="1" customWidth="1"/>
    <col min="13572" max="13572" width="10.7109375" style="235" bestFit="1" customWidth="1"/>
    <col min="13573" max="13824" width="8.85546875" style="235"/>
    <col min="13825" max="13825" width="54" style="235" customWidth="1"/>
    <col min="13826" max="13826" width="11.42578125" style="235" bestFit="1" customWidth="1"/>
    <col min="13827" max="13827" width="11.140625" style="235" bestFit="1" customWidth="1"/>
    <col min="13828" max="13828" width="10.7109375" style="235" bestFit="1" customWidth="1"/>
    <col min="13829" max="14080" width="8.85546875" style="235"/>
    <col min="14081" max="14081" width="54" style="235" customWidth="1"/>
    <col min="14082" max="14082" width="11.42578125" style="235" bestFit="1" customWidth="1"/>
    <col min="14083" max="14083" width="11.140625" style="235" bestFit="1" customWidth="1"/>
    <col min="14084" max="14084" width="10.7109375" style="235" bestFit="1" customWidth="1"/>
    <col min="14085" max="14336" width="8.85546875" style="235"/>
    <col min="14337" max="14337" width="54" style="235" customWidth="1"/>
    <col min="14338" max="14338" width="11.42578125" style="235" bestFit="1" customWidth="1"/>
    <col min="14339" max="14339" width="11.140625" style="235" bestFit="1" customWidth="1"/>
    <col min="14340" max="14340" width="10.7109375" style="235" bestFit="1" customWidth="1"/>
    <col min="14341" max="14592" width="8.85546875" style="235"/>
    <col min="14593" max="14593" width="54" style="235" customWidth="1"/>
    <col min="14594" max="14594" width="11.42578125" style="235" bestFit="1" customWidth="1"/>
    <col min="14595" max="14595" width="11.140625" style="235" bestFit="1" customWidth="1"/>
    <col min="14596" max="14596" width="10.7109375" style="235" bestFit="1" customWidth="1"/>
    <col min="14597" max="14848" width="8.85546875" style="235"/>
    <col min="14849" max="14849" width="54" style="235" customWidth="1"/>
    <col min="14850" max="14850" width="11.42578125" style="235" bestFit="1" customWidth="1"/>
    <col min="14851" max="14851" width="11.140625" style="235" bestFit="1" customWidth="1"/>
    <col min="14852" max="14852" width="10.7109375" style="235" bestFit="1" customWidth="1"/>
    <col min="14853" max="15104" width="8.85546875" style="235"/>
    <col min="15105" max="15105" width="54" style="235" customWidth="1"/>
    <col min="15106" max="15106" width="11.42578125" style="235" bestFit="1" customWidth="1"/>
    <col min="15107" max="15107" width="11.140625" style="235" bestFit="1" customWidth="1"/>
    <col min="15108" max="15108" width="10.7109375" style="235" bestFit="1" customWidth="1"/>
    <col min="15109" max="15360" width="8.85546875" style="235"/>
    <col min="15361" max="15361" width="54" style="235" customWidth="1"/>
    <col min="15362" max="15362" width="11.42578125" style="235" bestFit="1" customWidth="1"/>
    <col min="15363" max="15363" width="11.140625" style="235" bestFit="1" customWidth="1"/>
    <col min="15364" max="15364" width="10.7109375" style="235" bestFit="1" customWidth="1"/>
    <col min="15365" max="15616" width="8.85546875" style="235"/>
    <col min="15617" max="15617" width="54" style="235" customWidth="1"/>
    <col min="15618" max="15618" width="11.42578125" style="235" bestFit="1" customWidth="1"/>
    <col min="15619" max="15619" width="11.140625" style="235" bestFit="1" customWidth="1"/>
    <col min="15620" max="15620" width="10.7109375" style="235" bestFit="1" customWidth="1"/>
    <col min="15621" max="15872" width="8.85546875" style="235"/>
    <col min="15873" max="15873" width="54" style="235" customWidth="1"/>
    <col min="15874" max="15874" width="11.42578125" style="235" bestFit="1" customWidth="1"/>
    <col min="15875" max="15875" width="11.140625" style="235" bestFit="1" customWidth="1"/>
    <col min="15876" max="15876" width="10.7109375" style="235" bestFit="1" customWidth="1"/>
    <col min="15877" max="16128" width="8.85546875" style="235"/>
    <col min="16129" max="16129" width="54" style="235" customWidth="1"/>
    <col min="16130" max="16130" width="11.42578125" style="235" bestFit="1" customWidth="1"/>
    <col min="16131" max="16131" width="11.140625" style="235" bestFit="1" customWidth="1"/>
    <col min="16132" max="16132" width="10.7109375" style="235" bestFit="1" customWidth="1"/>
    <col min="16133" max="16384" width="8.85546875" style="235"/>
  </cols>
  <sheetData>
    <row r="1" spans="1:3" ht="15.75" thickBot="1" x14ac:dyDescent="0.3">
      <c r="A1" s="281" t="s">
        <v>280</v>
      </c>
      <c r="B1" s="354" t="s">
        <v>281</v>
      </c>
      <c r="C1" s="355" t="s">
        <v>282</v>
      </c>
    </row>
    <row r="2" spans="1:3" ht="15.75" thickBot="1" x14ac:dyDescent="0.3">
      <c r="A2" s="276" t="s">
        <v>283</v>
      </c>
      <c r="B2" s="356"/>
      <c r="C2" s="357"/>
    </row>
    <row r="3" spans="1:3" ht="15.75" thickBot="1" x14ac:dyDescent="0.3">
      <c r="A3" s="284" t="s">
        <v>362</v>
      </c>
      <c r="B3" s="356"/>
      <c r="C3" s="357"/>
    </row>
    <row r="4" spans="1:3" ht="15.75" thickBot="1" x14ac:dyDescent="0.3">
      <c r="A4" s="284" t="s">
        <v>364</v>
      </c>
      <c r="B4" s="356"/>
      <c r="C4" s="357"/>
    </row>
    <row r="5" spans="1:3" ht="15.75" thickBot="1" x14ac:dyDescent="0.3">
      <c r="A5" s="284" t="s">
        <v>365</v>
      </c>
      <c r="B5" s="356"/>
      <c r="C5" s="357"/>
    </row>
    <row r="6" spans="1:3" s="353" customFormat="1" ht="15.75" thickBot="1" x14ac:dyDescent="0.3">
      <c r="A6" s="373" t="s">
        <v>363</v>
      </c>
      <c r="B6" s="356"/>
      <c r="C6" s="357"/>
    </row>
    <row r="7" spans="1:3" ht="15.75" thickBot="1" x14ac:dyDescent="0.3">
      <c r="A7" s="284" t="s">
        <v>130</v>
      </c>
      <c r="B7" s="356"/>
      <c r="C7" s="357"/>
    </row>
    <row r="8" spans="1:3" ht="15.75" thickBot="1" x14ac:dyDescent="0.3">
      <c r="A8" s="284" t="s">
        <v>299</v>
      </c>
      <c r="B8" s="356"/>
      <c r="C8" s="357"/>
    </row>
    <row r="9" spans="1:3" ht="15.75" thickBot="1" x14ac:dyDescent="0.3">
      <c r="A9" s="284" t="s">
        <v>235</v>
      </c>
      <c r="B9" s="356"/>
      <c r="C9" s="357"/>
    </row>
    <row r="10" spans="1:3" ht="15.75" thickBot="1" x14ac:dyDescent="0.3">
      <c r="A10" s="284" t="s">
        <v>361</v>
      </c>
      <c r="B10" s="356"/>
      <c r="C10" s="357"/>
    </row>
    <row r="11" spans="1:3" ht="15.75" thickBot="1" x14ac:dyDescent="0.3">
      <c r="A11" s="284" t="s">
        <v>299</v>
      </c>
      <c r="B11" s="356"/>
      <c r="C11" s="357"/>
    </row>
    <row r="12" spans="1:3" ht="15.75" thickBot="1" x14ac:dyDescent="0.3">
      <c r="A12" s="284" t="s">
        <v>125</v>
      </c>
      <c r="B12" s="356"/>
      <c r="C12" s="357"/>
    </row>
    <row r="13" spans="1:3" ht="15.75" thickBot="1" x14ac:dyDescent="0.3">
      <c r="A13" s="284" t="s">
        <v>299</v>
      </c>
      <c r="B13" s="356"/>
      <c r="C13" s="357"/>
    </row>
    <row r="14" spans="1:3" ht="15.75" thickBot="1" x14ac:dyDescent="0.3">
      <c r="A14" s="284" t="s">
        <v>233</v>
      </c>
      <c r="B14" s="356"/>
      <c r="C14" s="357"/>
    </row>
    <row r="15" spans="1:3" ht="15.75" thickBot="1" x14ac:dyDescent="0.3">
      <c r="A15" s="284" t="s">
        <v>366</v>
      </c>
      <c r="B15" s="356"/>
      <c r="C15" s="357"/>
    </row>
    <row r="16" spans="1:3" ht="15.75" thickBot="1" x14ac:dyDescent="0.3">
      <c r="A16" s="284" t="s">
        <v>234</v>
      </c>
      <c r="B16" s="358"/>
      <c r="C16" s="357"/>
    </row>
    <row r="17" spans="1:5" ht="15.75" thickBot="1" x14ac:dyDescent="0.3">
      <c r="A17" s="284" t="s">
        <v>367</v>
      </c>
      <c r="B17" s="358"/>
      <c r="C17" s="357"/>
    </row>
    <row r="18" spans="1:5" ht="15.75" thickBot="1" x14ac:dyDescent="0.3">
      <c r="A18" s="284" t="s">
        <v>141</v>
      </c>
      <c r="B18" s="359"/>
      <c r="C18" s="357"/>
    </row>
    <row r="19" spans="1:5" ht="15.75" thickBot="1" x14ac:dyDescent="0.3">
      <c r="A19" s="284" t="s">
        <v>368</v>
      </c>
      <c r="B19" s="359"/>
      <c r="C19" s="357"/>
    </row>
    <row r="20" spans="1:5" ht="15.75" thickBot="1" x14ac:dyDescent="0.3">
      <c r="A20" s="287" t="s">
        <v>284</v>
      </c>
      <c r="B20" s="713"/>
      <c r="C20" s="714"/>
      <c r="D20" s="46"/>
      <c r="E20" s="24"/>
    </row>
    <row r="21" spans="1:5" ht="15.75" thickBot="1" x14ac:dyDescent="0.3">
      <c r="A21" s="276" t="s">
        <v>285</v>
      </c>
      <c r="B21" s="356"/>
      <c r="C21" s="356"/>
    </row>
    <row r="22" spans="1:5" ht="15.75" thickBot="1" x14ac:dyDescent="0.3">
      <c r="A22" s="277" t="s">
        <v>286</v>
      </c>
      <c r="B22" s="356"/>
      <c r="C22" s="357"/>
    </row>
    <row r="23" spans="1:5" ht="15.75" thickBot="1" x14ac:dyDescent="0.3">
      <c r="A23" s="280" t="s">
        <v>369</v>
      </c>
      <c r="B23" s="360"/>
      <c r="C23" s="357"/>
    </row>
    <row r="24" spans="1:5" ht="15.75" thickBot="1" x14ac:dyDescent="0.3">
      <c r="A24" s="280" t="s">
        <v>370</v>
      </c>
      <c r="B24" s="360"/>
      <c r="C24" s="357"/>
    </row>
    <row r="25" spans="1:5" ht="15.75" thickBot="1" x14ac:dyDescent="0.3">
      <c r="A25" s="280" t="s">
        <v>371</v>
      </c>
      <c r="B25" s="356"/>
      <c r="C25" s="361"/>
    </row>
    <row r="26" spans="1:5" ht="15.75" thickBot="1" x14ac:dyDescent="0.3">
      <c r="A26" s="280" t="s">
        <v>372</v>
      </c>
      <c r="B26" s="356"/>
      <c r="C26" s="361"/>
    </row>
    <row r="27" spans="1:5" ht="15.75" thickBot="1" x14ac:dyDescent="0.3">
      <c r="A27" s="288" t="s">
        <v>290</v>
      </c>
      <c r="B27" s="715"/>
      <c r="C27" s="716"/>
      <c r="D27" s="46"/>
    </row>
    <row r="28" spans="1:5" ht="15.75" thickBot="1" x14ac:dyDescent="0.3">
      <c r="A28" s="277" t="s">
        <v>373</v>
      </c>
      <c r="B28" s="362"/>
      <c r="C28" s="361"/>
    </row>
    <row r="29" spans="1:5" ht="15.75" thickBot="1" x14ac:dyDescent="0.3">
      <c r="A29" s="280" t="s">
        <v>374</v>
      </c>
      <c r="B29" s="360"/>
      <c r="C29" s="361"/>
    </row>
    <row r="30" spans="1:5" ht="15.75" thickBot="1" x14ac:dyDescent="0.3">
      <c r="A30" s="280" t="s">
        <v>293</v>
      </c>
      <c r="B30" s="356"/>
      <c r="C30" s="361"/>
    </row>
    <row r="31" spans="1:5" ht="15.75" thickBot="1" x14ac:dyDescent="0.3">
      <c r="A31" s="289" t="s">
        <v>294</v>
      </c>
      <c r="B31" s="715"/>
      <c r="C31" s="716"/>
    </row>
    <row r="32" spans="1:5" ht="15.75" thickBot="1" x14ac:dyDescent="0.3">
      <c r="A32" s="276" t="s">
        <v>295</v>
      </c>
      <c r="B32" s="356"/>
      <c r="C32" s="357"/>
    </row>
    <row r="33" spans="1:3" ht="15.75" thickBot="1" x14ac:dyDescent="0.3">
      <c r="A33" s="290" t="s">
        <v>296</v>
      </c>
      <c r="B33" s="360"/>
      <c r="C33" s="361"/>
    </row>
    <row r="34" spans="1:3" ht="15.75" thickBot="1" x14ac:dyDescent="0.3">
      <c r="A34" s="277" t="s">
        <v>375</v>
      </c>
      <c r="B34" s="356"/>
      <c r="C34" s="361"/>
    </row>
    <row r="35" spans="1:3" ht="15.75" thickBot="1" x14ac:dyDescent="0.3">
      <c r="A35" s="277" t="s">
        <v>376</v>
      </c>
      <c r="B35" s="356"/>
      <c r="C35" s="361"/>
    </row>
    <row r="36" spans="1:3" ht="15.75" thickBot="1" x14ac:dyDescent="0.3">
      <c r="A36" s="291" t="s">
        <v>299</v>
      </c>
      <c r="B36" s="356"/>
      <c r="C36" s="361"/>
    </row>
    <row r="37" spans="1:3" ht="15.75" thickBot="1" x14ac:dyDescent="0.3">
      <c r="A37" s="277" t="s">
        <v>377</v>
      </c>
      <c r="B37" s="360"/>
      <c r="C37" s="357"/>
    </row>
    <row r="38" spans="1:3" ht="15.75" thickBot="1" x14ac:dyDescent="0.3">
      <c r="A38" s="277" t="s">
        <v>378</v>
      </c>
      <c r="B38" s="363"/>
      <c r="C38" s="361"/>
    </row>
    <row r="39" spans="1:3" ht="15.75" thickBot="1" x14ac:dyDescent="0.3">
      <c r="A39" s="289" t="s">
        <v>294</v>
      </c>
      <c r="B39" s="715"/>
      <c r="C39" s="716"/>
    </row>
    <row r="40" spans="1:3" ht="15.75" thickBot="1" x14ac:dyDescent="0.3">
      <c r="A40" s="290" t="s">
        <v>252</v>
      </c>
      <c r="B40" s="360"/>
      <c r="C40" s="361"/>
    </row>
    <row r="41" spans="1:3" ht="15.75" thickBot="1" x14ac:dyDescent="0.3">
      <c r="A41" s="277" t="s">
        <v>302</v>
      </c>
      <c r="B41" s="356"/>
      <c r="C41" s="361"/>
    </row>
    <row r="42" spans="1:3" ht="15.75" thickBot="1" x14ac:dyDescent="0.3">
      <c r="A42" s="277" t="s">
        <v>303</v>
      </c>
      <c r="B42" s="356"/>
      <c r="C42" s="361"/>
    </row>
    <row r="43" spans="1:3" ht="15.75" thickBot="1" x14ac:dyDescent="0.3">
      <c r="A43" s="277" t="s">
        <v>304</v>
      </c>
      <c r="B43" s="360"/>
      <c r="C43" s="357"/>
    </row>
    <row r="44" spans="1:3" ht="15.75" thickBot="1" x14ac:dyDescent="0.3">
      <c r="A44" s="289" t="s">
        <v>305</v>
      </c>
      <c r="B44" s="715"/>
      <c r="C44" s="716"/>
    </row>
    <row r="45" spans="1:3" ht="15.75" thickBot="1" x14ac:dyDescent="0.3">
      <c r="A45" s="293" t="s">
        <v>306</v>
      </c>
      <c r="B45" s="711"/>
      <c r="C45" s="712"/>
    </row>
  </sheetData>
  <mergeCells count="6">
    <mergeCell ref="B45:C45"/>
    <mergeCell ref="B20:C20"/>
    <mergeCell ref="B27:C27"/>
    <mergeCell ref="B31:C31"/>
    <mergeCell ref="B39:C39"/>
    <mergeCell ref="B44:C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zoomScale="120" zoomScaleNormal="120" workbookViewId="0">
      <selection activeCell="A20" sqref="A20"/>
    </sheetView>
  </sheetViews>
  <sheetFormatPr defaultRowHeight="15" x14ac:dyDescent="0.25"/>
  <cols>
    <col min="1" max="1" width="48.85546875" style="322" customWidth="1"/>
    <col min="2" max="2" width="11" style="370" bestFit="1" customWidth="1"/>
    <col min="3" max="3" width="11.140625" style="334" bestFit="1" customWidth="1"/>
    <col min="4" max="4" width="8.85546875" style="235"/>
    <col min="5" max="5" width="11.28515625" style="235" customWidth="1"/>
    <col min="6" max="256" width="8.85546875" style="235"/>
    <col min="257" max="257" width="48.85546875" style="235" customWidth="1"/>
    <col min="258" max="258" width="11" style="235" bestFit="1" customWidth="1"/>
    <col min="259" max="259" width="11.140625" style="235" bestFit="1" customWidth="1"/>
    <col min="260" max="260" width="8.85546875" style="235"/>
    <col min="261" max="261" width="11.28515625" style="235" customWidth="1"/>
    <col min="262" max="512" width="8.85546875" style="235"/>
    <col min="513" max="513" width="48.85546875" style="235" customWidth="1"/>
    <col min="514" max="514" width="11" style="235" bestFit="1" customWidth="1"/>
    <col min="515" max="515" width="11.140625" style="235" bestFit="1" customWidth="1"/>
    <col min="516" max="516" width="8.85546875" style="235"/>
    <col min="517" max="517" width="11.28515625" style="235" customWidth="1"/>
    <col min="518" max="768" width="8.85546875" style="235"/>
    <col min="769" max="769" width="48.85546875" style="235" customWidth="1"/>
    <col min="770" max="770" width="11" style="235" bestFit="1" customWidth="1"/>
    <col min="771" max="771" width="11.140625" style="235" bestFit="1" customWidth="1"/>
    <col min="772" max="772" width="8.85546875" style="235"/>
    <col min="773" max="773" width="11.28515625" style="235" customWidth="1"/>
    <col min="774" max="1024" width="8.85546875" style="235"/>
    <col min="1025" max="1025" width="48.85546875" style="235" customWidth="1"/>
    <col min="1026" max="1026" width="11" style="235" bestFit="1" customWidth="1"/>
    <col min="1027" max="1027" width="11.140625" style="235" bestFit="1" customWidth="1"/>
    <col min="1028" max="1028" width="8.85546875" style="235"/>
    <col min="1029" max="1029" width="11.28515625" style="235" customWidth="1"/>
    <col min="1030" max="1280" width="8.85546875" style="235"/>
    <col min="1281" max="1281" width="48.85546875" style="235" customWidth="1"/>
    <col min="1282" max="1282" width="11" style="235" bestFit="1" customWidth="1"/>
    <col min="1283" max="1283" width="11.140625" style="235" bestFit="1" customWidth="1"/>
    <col min="1284" max="1284" width="8.85546875" style="235"/>
    <col min="1285" max="1285" width="11.28515625" style="235" customWidth="1"/>
    <col min="1286" max="1536" width="8.85546875" style="235"/>
    <col min="1537" max="1537" width="48.85546875" style="235" customWidth="1"/>
    <col min="1538" max="1538" width="11" style="235" bestFit="1" customWidth="1"/>
    <col min="1539" max="1539" width="11.140625" style="235" bestFit="1" customWidth="1"/>
    <col min="1540" max="1540" width="8.85546875" style="235"/>
    <col min="1541" max="1541" width="11.28515625" style="235" customWidth="1"/>
    <col min="1542" max="1792" width="8.85546875" style="235"/>
    <col min="1793" max="1793" width="48.85546875" style="235" customWidth="1"/>
    <col min="1794" max="1794" width="11" style="235" bestFit="1" customWidth="1"/>
    <col min="1795" max="1795" width="11.140625" style="235" bestFit="1" customWidth="1"/>
    <col min="1796" max="1796" width="8.85546875" style="235"/>
    <col min="1797" max="1797" width="11.28515625" style="235" customWidth="1"/>
    <col min="1798" max="2048" width="8.85546875" style="235"/>
    <col min="2049" max="2049" width="48.85546875" style="235" customWidth="1"/>
    <col min="2050" max="2050" width="11" style="235" bestFit="1" customWidth="1"/>
    <col min="2051" max="2051" width="11.140625" style="235" bestFit="1" customWidth="1"/>
    <col min="2052" max="2052" width="8.85546875" style="235"/>
    <col min="2053" max="2053" width="11.28515625" style="235" customWidth="1"/>
    <col min="2054" max="2304" width="8.85546875" style="235"/>
    <col min="2305" max="2305" width="48.85546875" style="235" customWidth="1"/>
    <col min="2306" max="2306" width="11" style="235" bestFit="1" customWidth="1"/>
    <col min="2307" max="2307" width="11.140625" style="235" bestFit="1" customWidth="1"/>
    <col min="2308" max="2308" width="8.85546875" style="235"/>
    <col min="2309" max="2309" width="11.28515625" style="235" customWidth="1"/>
    <col min="2310" max="2560" width="8.85546875" style="235"/>
    <col min="2561" max="2561" width="48.85546875" style="235" customWidth="1"/>
    <col min="2562" max="2562" width="11" style="235" bestFit="1" customWidth="1"/>
    <col min="2563" max="2563" width="11.140625" style="235" bestFit="1" customWidth="1"/>
    <col min="2564" max="2564" width="8.85546875" style="235"/>
    <col min="2565" max="2565" width="11.28515625" style="235" customWidth="1"/>
    <col min="2566" max="2816" width="8.85546875" style="235"/>
    <col min="2817" max="2817" width="48.85546875" style="235" customWidth="1"/>
    <col min="2818" max="2818" width="11" style="235" bestFit="1" customWidth="1"/>
    <col min="2819" max="2819" width="11.140625" style="235" bestFit="1" customWidth="1"/>
    <col min="2820" max="2820" width="8.85546875" style="235"/>
    <col min="2821" max="2821" width="11.28515625" style="235" customWidth="1"/>
    <col min="2822" max="3072" width="8.85546875" style="235"/>
    <col min="3073" max="3073" width="48.85546875" style="235" customWidth="1"/>
    <col min="3074" max="3074" width="11" style="235" bestFit="1" customWidth="1"/>
    <col min="3075" max="3075" width="11.140625" style="235" bestFit="1" customWidth="1"/>
    <col min="3076" max="3076" width="8.85546875" style="235"/>
    <col min="3077" max="3077" width="11.28515625" style="235" customWidth="1"/>
    <col min="3078" max="3328" width="8.85546875" style="235"/>
    <col min="3329" max="3329" width="48.85546875" style="235" customWidth="1"/>
    <col min="3330" max="3330" width="11" style="235" bestFit="1" customWidth="1"/>
    <col min="3331" max="3331" width="11.140625" style="235" bestFit="1" customWidth="1"/>
    <col min="3332" max="3332" width="8.85546875" style="235"/>
    <col min="3333" max="3333" width="11.28515625" style="235" customWidth="1"/>
    <col min="3334" max="3584" width="8.85546875" style="235"/>
    <col min="3585" max="3585" width="48.85546875" style="235" customWidth="1"/>
    <col min="3586" max="3586" width="11" style="235" bestFit="1" customWidth="1"/>
    <col min="3587" max="3587" width="11.140625" style="235" bestFit="1" customWidth="1"/>
    <col min="3588" max="3588" width="8.85546875" style="235"/>
    <col min="3589" max="3589" width="11.28515625" style="235" customWidth="1"/>
    <col min="3590" max="3840" width="8.85546875" style="235"/>
    <col min="3841" max="3841" width="48.85546875" style="235" customWidth="1"/>
    <col min="3842" max="3842" width="11" style="235" bestFit="1" customWidth="1"/>
    <col min="3843" max="3843" width="11.140625" style="235" bestFit="1" customWidth="1"/>
    <col min="3844" max="3844" width="8.85546875" style="235"/>
    <col min="3845" max="3845" width="11.28515625" style="235" customWidth="1"/>
    <col min="3846" max="4096" width="8.85546875" style="235"/>
    <col min="4097" max="4097" width="48.85546875" style="235" customWidth="1"/>
    <col min="4098" max="4098" width="11" style="235" bestFit="1" customWidth="1"/>
    <col min="4099" max="4099" width="11.140625" style="235" bestFit="1" customWidth="1"/>
    <col min="4100" max="4100" width="8.85546875" style="235"/>
    <col min="4101" max="4101" width="11.28515625" style="235" customWidth="1"/>
    <col min="4102" max="4352" width="8.85546875" style="235"/>
    <col min="4353" max="4353" width="48.85546875" style="235" customWidth="1"/>
    <col min="4354" max="4354" width="11" style="235" bestFit="1" customWidth="1"/>
    <col min="4355" max="4355" width="11.140625" style="235" bestFit="1" customWidth="1"/>
    <col min="4356" max="4356" width="8.85546875" style="235"/>
    <col min="4357" max="4357" width="11.28515625" style="235" customWidth="1"/>
    <col min="4358" max="4608" width="8.85546875" style="235"/>
    <col min="4609" max="4609" width="48.85546875" style="235" customWidth="1"/>
    <col min="4610" max="4610" width="11" style="235" bestFit="1" customWidth="1"/>
    <col min="4611" max="4611" width="11.140625" style="235" bestFit="1" customWidth="1"/>
    <col min="4612" max="4612" width="8.85546875" style="235"/>
    <col min="4613" max="4613" width="11.28515625" style="235" customWidth="1"/>
    <col min="4614" max="4864" width="8.85546875" style="235"/>
    <col min="4865" max="4865" width="48.85546875" style="235" customWidth="1"/>
    <col min="4866" max="4866" width="11" style="235" bestFit="1" customWidth="1"/>
    <col min="4867" max="4867" width="11.140625" style="235" bestFit="1" customWidth="1"/>
    <col min="4868" max="4868" width="8.85546875" style="235"/>
    <col min="4869" max="4869" width="11.28515625" style="235" customWidth="1"/>
    <col min="4870" max="5120" width="8.85546875" style="235"/>
    <col min="5121" max="5121" width="48.85546875" style="235" customWidth="1"/>
    <col min="5122" max="5122" width="11" style="235" bestFit="1" customWidth="1"/>
    <col min="5123" max="5123" width="11.140625" style="235" bestFit="1" customWidth="1"/>
    <col min="5124" max="5124" width="8.85546875" style="235"/>
    <col min="5125" max="5125" width="11.28515625" style="235" customWidth="1"/>
    <col min="5126" max="5376" width="8.85546875" style="235"/>
    <col min="5377" max="5377" width="48.85546875" style="235" customWidth="1"/>
    <col min="5378" max="5378" width="11" style="235" bestFit="1" customWidth="1"/>
    <col min="5379" max="5379" width="11.140625" style="235" bestFit="1" customWidth="1"/>
    <col min="5380" max="5380" width="8.85546875" style="235"/>
    <col min="5381" max="5381" width="11.28515625" style="235" customWidth="1"/>
    <col min="5382" max="5632" width="8.85546875" style="235"/>
    <col min="5633" max="5633" width="48.85546875" style="235" customWidth="1"/>
    <col min="5634" max="5634" width="11" style="235" bestFit="1" customWidth="1"/>
    <col min="5635" max="5635" width="11.140625" style="235" bestFit="1" customWidth="1"/>
    <col min="5636" max="5636" width="8.85546875" style="235"/>
    <col min="5637" max="5637" width="11.28515625" style="235" customWidth="1"/>
    <col min="5638" max="5888" width="8.85546875" style="235"/>
    <col min="5889" max="5889" width="48.85546875" style="235" customWidth="1"/>
    <col min="5890" max="5890" width="11" style="235" bestFit="1" customWidth="1"/>
    <col min="5891" max="5891" width="11.140625" style="235" bestFit="1" customWidth="1"/>
    <col min="5892" max="5892" width="8.85546875" style="235"/>
    <col min="5893" max="5893" width="11.28515625" style="235" customWidth="1"/>
    <col min="5894" max="6144" width="8.85546875" style="235"/>
    <col min="6145" max="6145" width="48.85546875" style="235" customWidth="1"/>
    <col min="6146" max="6146" width="11" style="235" bestFit="1" customWidth="1"/>
    <col min="6147" max="6147" width="11.140625" style="235" bestFit="1" customWidth="1"/>
    <col min="6148" max="6148" width="8.85546875" style="235"/>
    <col min="6149" max="6149" width="11.28515625" style="235" customWidth="1"/>
    <col min="6150" max="6400" width="8.85546875" style="235"/>
    <col min="6401" max="6401" width="48.85546875" style="235" customWidth="1"/>
    <col min="6402" max="6402" width="11" style="235" bestFit="1" customWidth="1"/>
    <col min="6403" max="6403" width="11.140625" style="235" bestFit="1" customWidth="1"/>
    <col min="6404" max="6404" width="8.85546875" style="235"/>
    <col min="6405" max="6405" width="11.28515625" style="235" customWidth="1"/>
    <col min="6406" max="6656" width="8.85546875" style="235"/>
    <col min="6657" max="6657" width="48.85546875" style="235" customWidth="1"/>
    <col min="6658" max="6658" width="11" style="235" bestFit="1" customWidth="1"/>
    <col min="6659" max="6659" width="11.140625" style="235" bestFit="1" customWidth="1"/>
    <col min="6660" max="6660" width="8.85546875" style="235"/>
    <col min="6661" max="6661" width="11.28515625" style="235" customWidth="1"/>
    <col min="6662" max="6912" width="8.85546875" style="235"/>
    <col min="6913" max="6913" width="48.85546875" style="235" customWidth="1"/>
    <col min="6914" max="6914" width="11" style="235" bestFit="1" customWidth="1"/>
    <col min="6915" max="6915" width="11.140625" style="235" bestFit="1" customWidth="1"/>
    <col min="6916" max="6916" width="8.85546875" style="235"/>
    <col min="6917" max="6917" width="11.28515625" style="235" customWidth="1"/>
    <col min="6918" max="7168" width="8.85546875" style="235"/>
    <col min="7169" max="7169" width="48.85546875" style="235" customWidth="1"/>
    <col min="7170" max="7170" width="11" style="235" bestFit="1" customWidth="1"/>
    <col min="7171" max="7171" width="11.140625" style="235" bestFit="1" customWidth="1"/>
    <col min="7172" max="7172" width="8.85546875" style="235"/>
    <col min="7173" max="7173" width="11.28515625" style="235" customWidth="1"/>
    <col min="7174" max="7424" width="8.85546875" style="235"/>
    <col min="7425" max="7425" width="48.85546875" style="235" customWidth="1"/>
    <col min="7426" max="7426" width="11" style="235" bestFit="1" customWidth="1"/>
    <col min="7427" max="7427" width="11.140625" style="235" bestFit="1" customWidth="1"/>
    <col min="7428" max="7428" width="8.85546875" style="235"/>
    <col min="7429" max="7429" width="11.28515625" style="235" customWidth="1"/>
    <col min="7430" max="7680" width="8.85546875" style="235"/>
    <col min="7681" max="7681" width="48.85546875" style="235" customWidth="1"/>
    <col min="7682" max="7682" width="11" style="235" bestFit="1" customWidth="1"/>
    <col min="7683" max="7683" width="11.140625" style="235" bestFit="1" customWidth="1"/>
    <col min="7684" max="7684" width="8.85546875" style="235"/>
    <col min="7685" max="7685" width="11.28515625" style="235" customWidth="1"/>
    <col min="7686" max="7936" width="8.85546875" style="235"/>
    <col min="7937" max="7937" width="48.85546875" style="235" customWidth="1"/>
    <col min="7938" max="7938" width="11" style="235" bestFit="1" customWidth="1"/>
    <col min="7939" max="7939" width="11.140625" style="235" bestFit="1" customWidth="1"/>
    <col min="7940" max="7940" width="8.85546875" style="235"/>
    <col min="7941" max="7941" width="11.28515625" style="235" customWidth="1"/>
    <col min="7942" max="8192" width="8.85546875" style="235"/>
    <col min="8193" max="8193" width="48.85546875" style="235" customWidth="1"/>
    <col min="8194" max="8194" width="11" style="235" bestFit="1" customWidth="1"/>
    <col min="8195" max="8195" width="11.140625" style="235" bestFit="1" customWidth="1"/>
    <col min="8196" max="8196" width="8.85546875" style="235"/>
    <col min="8197" max="8197" width="11.28515625" style="235" customWidth="1"/>
    <col min="8198" max="8448" width="8.85546875" style="235"/>
    <col min="8449" max="8449" width="48.85546875" style="235" customWidth="1"/>
    <col min="8450" max="8450" width="11" style="235" bestFit="1" customWidth="1"/>
    <col min="8451" max="8451" width="11.140625" style="235" bestFit="1" customWidth="1"/>
    <col min="8452" max="8452" width="8.85546875" style="235"/>
    <col min="8453" max="8453" width="11.28515625" style="235" customWidth="1"/>
    <col min="8454" max="8704" width="8.85546875" style="235"/>
    <col min="8705" max="8705" width="48.85546875" style="235" customWidth="1"/>
    <col min="8706" max="8706" width="11" style="235" bestFit="1" customWidth="1"/>
    <col min="8707" max="8707" width="11.140625" style="235" bestFit="1" customWidth="1"/>
    <col min="8708" max="8708" width="8.85546875" style="235"/>
    <col min="8709" max="8709" width="11.28515625" style="235" customWidth="1"/>
    <col min="8710" max="8960" width="8.85546875" style="235"/>
    <col min="8961" max="8961" width="48.85546875" style="235" customWidth="1"/>
    <col min="8962" max="8962" width="11" style="235" bestFit="1" customWidth="1"/>
    <col min="8963" max="8963" width="11.140625" style="235" bestFit="1" customWidth="1"/>
    <col min="8964" max="8964" width="8.85546875" style="235"/>
    <col min="8965" max="8965" width="11.28515625" style="235" customWidth="1"/>
    <col min="8966" max="9216" width="8.85546875" style="235"/>
    <col min="9217" max="9217" width="48.85546875" style="235" customWidth="1"/>
    <col min="9218" max="9218" width="11" style="235" bestFit="1" customWidth="1"/>
    <col min="9219" max="9219" width="11.140625" style="235" bestFit="1" customWidth="1"/>
    <col min="9220" max="9220" width="8.85546875" style="235"/>
    <col min="9221" max="9221" width="11.28515625" style="235" customWidth="1"/>
    <col min="9222" max="9472" width="8.85546875" style="235"/>
    <col min="9473" max="9473" width="48.85546875" style="235" customWidth="1"/>
    <col min="9474" max="9474" width="11" style="235" bestFit="1" customWidth="1"/>
    <col min="9475" max="9475" width="11.140625" style="235" bestFit="1" customWidth="1"/>
    <col min="9476" max="9476" width="8.85546875" style="235"/>
    <col min="9477" max="9477" width="11.28515625" style="235" customWidth="1"/>
    <col min="9478" max="9728" width="8.85546875" style="235"/>
    <col min="9729" max="9729" width="48.85546875" style="235" customWidth="1"/>
    <col min="9730" max="9730" width="11" style="235" bestFit="1" customWidth="1"/>
    <col min="9731" max="9731" width="11.140625" style="235" bestFit="1" customWidth="1"/>
    <col min="9732" max="9732" width="8.85546875" style="235"/>
    <col min="9733" max="9733" width="11.28515625" style="235" customWidth="1"/>
    <col min="9734" max="9984" width="8.85546875" style="235"/>
    <col min="9985" max="9985" width="48.85546875" style="235" customWidth="1"/>
    <col min="9986" max="9986" width="11" style="235" bestFit="1" customWidth="1"/>
    <col min="9987" max="9987" width="11.140625" style="235" bestFit="1" customWidth="1"/>
    <col min="9988" max="9988" width="8.85546875" style="235"/>
    <col min="9989" max="9989" width="11.28515625" style="235" customWidth="1"/>
    <col min="9990" max="10240" width="8.85546875" style="235"/>
    <col min="10241" max="10241" width="48.85546875" style="235" customWidth="1"/>
    <col min="10242" max="10242" width="11" style="235" bestFit="1" customWidth="1"/>
    <col min="10243" max="10243" width="11.140625" style="235" bestFit="1" customWidth="1"/>
    <col min="10244" max="10244" width="8.85546875" style="235"/>
    <col min="10245" max="10245" width="11.28515625" style="235" customWidth="1"/>
    <col min="10246" max="10496" width="8.85546875" style="235"/>
    <col min="10497" max="10497" width="48.85546875" style="235" customWidth="1"/>
    <col min="10498" max="10498" width="11" style="235" bestFit="1" customWidth="1"/>
    <col min="10499" max="10499" width="11.140625" style="235" bestFit="1" customWidth="1"/>
    <col min="10500" max="10500" width="8.85546875" style="235"/>
    <col min="10501" max="10501" width="11.28515625" style="235" customWidth="1"/>
    <col min="10502" max="10752" width="8.85546875" style="235"/>
    <col min="10753" max="10753" width="48.85546875" style="235" customWidth="1"/>
    <col min="10754" max="10754" width="11" style="235" bestFit="1" customWidth="1"/>
    <col min="10755" max="10755" width="11.140625" style="235" bestFit="1" customWidth="1"/>
    <col min="10756" max="10756" width="8.85546875" style="235"/>
    <col min="10757" max="10757" width="11.28515625" style="235" customWidth="1"/>
    <col min="10758" max="11008" width="8.85546875" style="235"/>
    <col min="11009" max="11009" width="48.85546875" style="235" customWidth="1"/>
    <col min="11010" max="11010" width="11" style="235" bestFit="1" customWidth="1"/>
    <col min="11011" max="11011" width="11.140625" style="235" bestFit="1" customWidth="1"/>
    <col min="11012" max="11012" width="8.85546875" style="235"/>
    <col min="11013" max="11013" width="11.28515625" style="235" customWidth="1"/>
    <col min="11014" max="11264" width="8.85546875" style="235"/>
    <col min="11265" max="11265" width="48.85546875" style="235" customWidth="1"/>
    <col min="11266" max="11266" width="11" style="235" bestFit="1" customWidth="1"/>
    <col min="11267" max="11267" width="11.140625" style="235" bestFit="1" customWidth="1"/>
    <col min="11268" max="11268" width="8.85546875" style="235"/>
    <col min="11269" max="11269" width="11.28515625" style="235" customWidth="1"/>
    <col min="11270" max="11520" width="8.85546875" style="235"/>
    <col min="11521" max="11521" width="48.85546875" style="235" customWidth="1"/>
    <col min="11522" max="11522" width="11" style="235" bestFit="1" customWidth="1"/>
    <col min="11523" max="11523" width="11.140625" style="235" bestFit="1" customWidth="1"/>
    <col min="11524" max="11524" width="8.85546875" style="235"/>
    <col min="11525" max="11525" width="11.28515625" style="235" customWidth="1"/>
    <col min="11526" max="11776" width="8.85546875" style="235"/>
    <col min="11777" max="11777" width="48.85546875" style="235" customWidth="1"/>
    <col min="11778" max="11778" width="11" style="235" bestFit="1" customWidth="1"/>
    <col min="11779" max="11779" width="11.140625" style="235" bestFit="1" customWidth="1"/>
    <col min="11780" max="11780" width="8.85546875" style="235"/>
    <col min="11781" max="11781" width="11.28515625" style="235" customWidth="1"/>
    <col min="11782" max="12032" width="8.85546875" style="235"/>
    <col min="12033" max="12033" width="48.85546875" style="235" customWidth="1"/>
    <col min="12034" max="12034" width="11" style="235" bestFit="1" customWidth="1"/>
    <col min="12035" max="12035" width="11.140625" style="235" bestFit="1" customWidth="1"/>
    <col min="12036" max="12036" width="8.85546875" style="235"/>
    <col min="12037" max="12037" width="11.28515625" style="235" customWidth="1"/>
    <col min="12038" max="12288" width="8.85546875" style="235"/>
    <col min="12289" max="12289" width="48.85546875" style="235" customWidth="1"/>
    <col min="12290" max="12290" width="11" style="235" bestFit="1" customWidth="1"/>
    <col min="12291" max="12291" width="11.140625" style="235" bestFit="1" customWidth="1"/>
    <col min="12292" max="12292" width="8.85546875" style="235"/>
    <col min="12293" max="12293" width="11.28515625" style="235" customWidth="1"/>
    <col min="12294" max="12544" width="8.85546875" style="235"/>
    <col min="12545" max="12545" width="48.85546875" style="235" customWidth="1"/>
    <col min="12546" max="12546" width="11" style="235" bestFit="1" customWidth="1"/>
    <col min="12547" max="12547" width="11.140625" style="235" bestFit="1" customWidth="1"/>
    <col min="12548" max="12548" width="8.85546875" style="235"/>
    <col min="12549" max="12549" width="11.28515625" style="235" customWidth="1"/>
    <col min="12550" max="12800" width="8.85546875" style="235"/>
    <col min="12801" max="12801" width="48.85546875" style="235" customWidth="1"/>
    <col min="12802" max="12802" width="11" style="235" bestFit="1" customWidth="1"/>
    <col min="12803" max="12803" width="11.140625" style="235" bestFit="1" customWidth="1"/>
    <col min="12804" max="12804" width="8.85546875" style="235"/>
    <col min="12805" max="12805" width="11.28515625" style="235" customWidth="1"/>
    <col min="12806" max="13056" width="8.85546875" style="235"/>
    <col min="13057" max="13057" width="48.85546875" style="235" customWidth="1"/>
    <col min="13058" max="13058" width="11" style="235" bestFit="1" customWidth="1"/>
    <col min="13059" max="13059" width="11.140625" style="235" bestFit="1" customWidth="1"/>
    <col min="13060" max="13060" width="8.85546875" style="235"/>
    <col min="13061" max="13061" width="11.28515625" style="235" customWidth="1"/>
    <col min="13062" max="13312" width="8.85546875" style="235"/>
    <col min="13313" max="13313" width="48.85546875" style="235" customWidth="1"/>
    <col min="13314" max="13314" width="11" style="235" bestFit="1" customWidth="1"/>
    <col min="13315" max="13315" width="11.140625" style="235" bestFit="1" customWidth="1"/>
    <col min="13316" max="13316" width="8.85546875" style="235"/>
    <col min="13317" max="13317" width="11.28515625" style="235" customWidth="1"/>
    <col min="13318" max="13568" width="8.85546875" style="235"/>
    <col min="13569" max="13569" width="48.85546875" style="235" customWidth="1"/>
    <col min="13570" max="13570" width="11" style="235" bestFit="1" customWidth="1"/>
    <col min="13571" max="13571" width="11.140625" style="235" bestFit="1" customWidth="1"/>
    <col min="13572" max="13572" width="8.85546875" style="235"/>
    <col min="13573" max="13573" width="11.28515625" style="235" customWidth="1"/>
    <col min="13574" max="13824" width="8.85546875" style="235"/>
    <col min="13825" max="13825" width="48.85546875" style="235" customWidth="1"/>
    <col min="13826" max="13826" width="11" style="235" bestFit="1" customWidth="1"/>
    <col min="13827" max="13827" width="11.140625" style="235" bestFit="1" customWidth="1"/>
    <col min="13828" max="13828" width="8.85546875" style="235"/>
    <col min="13829" max="13829" width="11.28515625" style="235" customWidth="1"/>
    <col min="13830" max="14080" width="8.85546875" style="235"/>
    <col min="14081" max="14081" width="48.85546875" style="235" customWidth="1"/>
    <col min="14082" max="14082" width="11" style="235" bestFit="1" customWidth="1"/>
    <col min="14083" max="14083" width="11.140625" style="235" bestFit="1" customWidth="1"/>
    <col min="14084" max="14084" width="8.85546875" style="235"/>
    <col min="14085" max="14085" width="11.28515625" style="235" customWidth="1"/>
    <col min="14086" max="14336" width="8.85546875" style="235"/>
    <col min="14337" max="14337" width="48.85546875" style="235" customWidth="1"/>
    <col min="14338" max="14338" width="11" style="235" bestFit="1" customWidth="1"/>
    <col min="14339" max="14339" width="11.140625" style="235" bestFit="1" customWidth="1"/>
    <col min="14340" max="14340" width="8.85546875" style="235"/>
    <col min="14341" max="14341" width="11.28515625" style="235" customWidth="1"/>
    <col min="14342" max="14592" width="8.85546875" style="235"/>
    <col min="14593" max="14593" width="48.85546875" style="235" customWidth="1"/>
    <col min="14594" max="14594" width="11" style="235" bestFit="1" customWidth="1"/>
    <col min="14595" max="14595" width="11.140625" style="235" bestFit="1" customWidth="1"/>
    <col min="14596" max="14596" width="8.85546875" style="235"/>
    <col min="14597" max="14597" width="11.28515625" style="235" customWidth="1"/>
    <col min="14598" max="14848" width="8.85546875" style="235"/>
    <col min="14849" max="14849" width="48.85546875" style="235" customWidth="1"/>
    <col min="14850" max="14850" width="11" style="235" bestFit="1" customWidth="1"/>
    <col min="14851" max="14851" width="11.140625" style="235" bestFit="1" customWidth="1"/>
    <col min="14852" max="14852" width="8.85546875" style="235"/>
    <col min="14853" max="14853" width="11.28515625" style="235" customWidth="1"/>
    <col min="14854" max="15104" width="8.85546875" style="235"/>
    <col min="15105" max="15105" width="48.85546875" style="235" customWidth="1"/>
    <col min="15106" max="15106" width="11" style="235" bestFit="1" customWidth="1"/>
    <col min="15107" max="15107" width="11.140625" style="235" bestFit="1" customWidth="1"/>
    <col min="15108" max="15108" width="8.85546875" style="235"/>
    <col min="15109" max="15109" width="11.28515625" style="235" customWidth="1"/>
    <col min="15110" max="15360" width="8.85546875" style="235"/>
    <col min="15361" max="15361" width="48.85546875" style="235" customWidth="1"/>
    <col min="15362" max="15362" width="11" style="235" bestFit="1" customWidth="1"/>
    <col min="15363" max="15363" width="11.140625" style="235" bestFit="1" customWidth="1"/>
    <col min="15364" max="15364" width="8.85546875" style="235"/>
    <col min="15365" max="15365" width="11.28515625" style="235" customWidth="1"/>
    <col min="15366" max="15616" width="8.85546875" style="235"/>
    <col min="15617" max="15617" width="48.85546875" style="235" customWidth="1"/>
    <col min="15618" max="15618" width="11" style="235" bestFit="1" customWidth="1"/>
    <col min="15619" max="15619" width="11.140625" style="235" bestFit="1" customWidth="1"/>
    <col min="15620" max="15620" width="8.85546875" style="235"/>
    <col min="15621" max="15621" width="11.28515625" style="235" customWidth="1"/>
    <col min="15622" max="15872" width="8.85546875" style="235"/>
    <col min="15873" max="15873" width="48.85546875" style="235" customWidth="1"/>
    <col min="15874" max="15874" width="11" style="235" bestFit="1" customWidth="1"/>
    <col min="15875" max="15875" width="11.140625" style="235" bestFit="1" customWidth="1"/>
    <col min="15876" max="15876" width="8.85546875" style="235"/>
    <col min="15877" max="15877" width="11.28515625" style="235" customWidth="1"/>
    <col min="15878" max="16128" width="8.85546875" style="235"/>
    <col min="16129" max="16129" width="48.85546875" style="235" customWidth="1"/>
    <col min="16130" max="16130" width="11" style="235" bestFit="1" customWidth="1"/>
    <col min="16131" max="16131" width="11.140625" style="235" bestFit="1" customWidth="1"/>
    <col min="16132" max="16132" width="8.85546875" style="235"/>
    <col min="16133" max="16133" width="11.28515625" style="235" customWidth="1"/>
    <col min="16134" max="16384" width="8.85546875" style="235"/>
  </cols>
  <sheetData>
    <row r="1" spans="1:5" ht="15.75" thickBot="1" x14ac:dyDescent="0.3">
      <c r="A1" s="374" t="s">
        <v>78</v>
      </c>
      <c r="B1" s="365">
        <f>'FC PT 2 (2)'!B42</f>
        <v>0</v>
      </c>
    </row>
    <row r="2" spans="1:5" ht="15.75" thickBot="1" x14ac:dyDescent="0.3">
      <c r="A2" s="375" t="s">
        <v>307</v>
      </c>
      <c r="B2" s="343"/>
    </row>
    <row r="3" spans="1:5" ht="15.75" thickBot="1" x14ac:dyDescent="0.3">
      <c r="A3" s="376" t="s">
        <v>308</v>
      </c>
      <c r="B3" s="357"/>
    </row>
    <row r="4" spans="1:5" ht="15.75" thickBot="1" x14ac:dyDescent="0.3">
      <c r="A4" s="376" t="s">
        <v>379</v>
      </c>
      <c r="B4" s="357"/>
    </row>
    <row r="5" spans="1:5" ht="15.75" thickBot="1" x14ac:dyDescent="0.3">
      <c r="A5" s="377" t="s">
        <v>380</v>
      </c>
      <c r="B5" s="366"/>
      <c r="D5" s="46"/>
      <c r="E5" s="46"/>
    </row>
    <row r="6" spans="1:5" ht="15.75" thickBot="1" x14ac:dyDescent="0.3">
      <c r="A6" s="377" t="s">
        <v>381</v>
      </c>
      <c r="B6" s="366"/>
      <c r="D6" s="46"/>
      <c r="E6" s="46"/>
    </row>
    <row r="7" spans="1:5" ht="15.75" thickBot="1" x14ac:dyDescent="0.3">
      <c r="A7" s="376" t="s">
        <v>382</v>
      </c>
      <c r="B7" s="366"/>
      <c r="D7" s="46"/>
      <c r="E7" s="46"/>
    </row>
    <row r="8" spans="1:5" ht="15.75" thickBot="1" x14ac:dyDescent="0.3">
      <c r="A8" s="376" t="s">
        <v>383</v>
      </c>
      <c r="B8" s="366"/>
      <c r="D8" s="46"/>
      <c r="E8" s="46"/>
    </row>
    <row r="9" spans="1:5" ht="15.75" thickBot="1" x14ac:dyDescent="0.3">
      <c r="A9" s="376" t="s">
        <v>384</v>
      </c>
      <c r="B9" s="366"/>
      <c r="D9" s="46"/>
      <c r="E9" s="46"/>
    </row>
    <row r="10" spans="1:5" ht="15.75" thickBot="1" x14ac:dyDescent="0.3">
      <c r="A10" s="378" t="s">
        <v>312</v>
      </c>
      <c r="B10" s="367"/>
    </row>
    <row r="11" spans="1:5" ht="15.75" thickBot="1" x14ac:dyDescent="0.3">
      <c r="A11" s="375" t="s">
        <v>313</v>
      </c>
      <c r="B11" s="343"/>
    </row>
    <row r="12" spans="1:5" ht="15.75" thickBot="1" x14ac:dyDescent="0.3">
      <c r="A12" s="376" t="s">
        <v>314</v>
      </c>
      <c r="B12" s="357"/>
    </row>
    <row r="13" spans="1:5" ht="15.75" thickBot="1" x14ac:dyDescent="0.3">
      <c r="A13" s="376" t="s">
        <v>385</v>
      </c>
      <c r="B13" s="357"/>
    </row>
    <row r="14" spans="1:5" ht="15.75" thickBot="1" x14ac:dyDescent="0.3">
      <c r="A14" s="377" t="s">
        <v>386</v>
      </c>
      <c r="B14" s="357"/>
      <c r="D14" s="24"/>
    </row>
    <row r="15" spans="1:5" ht="15.75" thickBot="1" x14ac:dyDescent="0.3">
      <c r="A15" s="376" t="s">
        <v>315</v>
      </c>
      <c r="B15" s="357"/>
      <c r="E15" s="24"/>
    </row>
    <row r="16" spans="1:5" ht="15.75" thickBot="1" x14ac:dyDescent="0.3">
      <c r="A16" s="376" t="s">
        <v>397</v>
      </c>
      <c r="B16" s="357"/>
      <c r="E16" s="24"/>
    </row>
    <row r="17" spans="1:5" ht="15.75" thickBot="1" x14ac:dyDescent="0.3">
      <c r="A17" s="376" t="s">
        <v>388</v>
      </c>
      <c r="B17" s="357"/>
      <c r="E17" s="24"/>
    </row>
    <row r="18" spans="1:5" ht="15.75" thickBot="1" x14ac:dyDescent="0.3">
      <c r="A18" s="376" t="s">
        <v>318</v>
      </c>
      <c r="B18" s="357"/>
      <c r="E18" s="24"/>
    </row>
    <row r="19" spans="1:5" ht="15.75" thickBot="1" x14ac:dyDescent="0.3">
      <c r="A19" s="376" t="s">
        <v>398</v>
      </c>
      <c r="B19" s="357"/>
      <c r="E19" s="24"/>
    </row>
    <row r="20" spans="1:5" ht="15.75" thickBot="1" x14ac:dyDescent="0.3">
      <c r="A20" s="376" t="s">
        <v>399</v>
      </c>
      <c r="B20" s="357"/>
    </row>
    <row r="21" spans="1:5" ht="15.75" thickBot="1" x14ac:dyDescent="0.3">
      <c r="A21" s="376" t="s">
        <v>400</v>
      </c>
      <c r="B21" s="357"/>
    </row>
    <row r="22" spans="1:5" ht="15.75" thickBot="1" x14ac:dyDescent="0.3">
      <c r="A22" s="379" t="s">
        <v>321</v>
      </c>
      <c r="B22" s="367"/>
    </row>
    <row r="23" spans="1:5" ht="15.75" thickBot="1" x14ac:dyDescent="0.3">
      <c r="A23" s="376" t="s">
        <v>322</v>
      </c>
      <c r="B23" s="368"/>
    </row>
    <row r="24" spans="1:5" ht="15.75" thickBot="1" x14ac:dyDescent="0.3">
      <c r="A24" s="376" t="s">
        <v>391</v>
      </c>
      <c r="B24" s="357"/>
    </row>
    <row r="25" spans="1:5" ht="15.75" thickBot="1" x14ac:dyDescent="0.3">
      <c r="A25" s="376" t="s">
        <v>392</v>
      </c>
      <c r="B25" s="357"/>
    </row>
    <row r="26" spans="1:5" ht="15.75" thickBot="1" x14ac:dyDescent="0.3">
      <c r="A26" s="376" t="s">
        <v>393</v>
      </c>
      <c r="B26" s="357"/>
    </row>
    <row r="27" spans="1:5" ht="15.75" thickBot="1" x14ac:dyDescent="0.3">
      <c r="A27" s="379" t="s">
        <v>325</v>
      </c>
      <c r="B27" s="369"/>
    </row>
    <row r="28" spans="1:5" ht="15.75" thickBot="1" x14ac:dyDescent="0.3">
      <c r="A28" s="376" t="s">
        <v>326</v>
      </c>
      <c r="B28" s="357"/>
    </row>
    <row r="29" spans="1:5" ht="15.75" thickBot="1" x14ac:dyDescent="0.3">
      <c r="A29" s="376" t="s">
        <v>394</v>
      </c>
      <c r="B29" s="368"/>
    </row>
    <row r="30" spans="1:5" ht="15.75" thickBot="1" x14ac:dyDescent="0.3">
      <c r="A30" s="376" t="s">
        <v>116</v>
      </c>
      <c r="B30" s="357"/>
    </row>
    <row r="31" spans="1:5" ht="15.75" thickBot="1" x14ac:dyDescent="0.3">
      <c r="A31" s="376" t="s">
        <v>395</v>
      </c>
      <c r="B31" s="368"/>
    </row>
    <row r="32" spans="1:5" ht="15.75" thickBot="1" x14ac:dyDescent="0.3">
      <c r="A32" s="379" t="s">
        <v>331</v>
      </c>
      <c r="B32" s="367"/>
    </row>
    <row r="33" spans="1:2" ht="15.75" thickBot="1" x14ac:dyDescent="0.3">
      <c r="A33" s="379" t="s">
        <v>332</v>
      </c>
      <c r="B33" s="36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10" zoomScaleNormal="110" workbookViewId="0">
      <selection activeCell="C12" sqref="C12"/>
    </sheetView>
  </sheetViews>
  <sheetFormatPr defaultRowHeight="15" x14ac:dyDescent="0.25"/>
  <cols>
    <col min="1" max="1" width="52" style="235" customWidth="1"/>
    <col min="2" max="2" width="10" style="235" bestFit="1" customWidth="1"/>
    <col min="3" max="256" width="8.85546875" style="235"/>
    <col min="257" max="257" width="52" style="235" customWidth="1"/>
    <col min="258" max="258" width="10" style="235" bestFit="1" customWidth="1"/>
    <col min="259" max="512" width="8.85546875" style="235"/>
    <col min="513" max="513" width="52" style="235" customWidth="1"/>
    <col min="514" max="514" width="10" style="235" bestFit="1" customWidth="1"/>
    <col min="515" max="768" width="8.85546875" style="235"/>
    <col min="769" max="769" width="52" style="235" customWidth="1"/>
    <col min="770" max="770" width="10" style="235" bestFit="1" customWidth="1"/>
    <col min="771" max="1024" width="8.85546875" style="235"/>
    <col min="1025" max="1025" width="52" style="235" customWidth="1"/>
    <col min="1026" max="1026" width="10" style="235" bestFit="1" customWidth="1"/>
    <col min="1027" max="1280" width="8.85546875" style="235"/>
    <col min="1281" max="1281" width="52" style="235" customWidth="1"/>
    <col min="1282" max="1282" width="10" style="235" bestFit="1" customWidth="1"/>
    <col min="1283" max="1536" width="8.85546875" style="235"/>
    <col min="1537" max="1537" width="52" style="235" customWidth="1"/>
    <col min="1538" max="1538" width="10" style="235" bestFit="1" customWidth="1"/>
    <col min="1539" max="1792" width="8.85546875" style="235"/>
    <col min="1793" max="1793" width="52" style="235" customWidth="1"/>
    <col min="1794" max="1794" width="10" style="235" bestFit="1" customWidth="1"/>
    <col min="1795" max="2048" width="8.85546875" style="235"/>
    <col min="2049" max="2049" width="52" style="235" customWidth="1"/>
    <col min="2050" max="2050" width="10" style="235" bestFit="1" customWidth="1"/>
    <col min="2051" max="2304" width="8.85546875" style="235"/>
    <col min="2305" max="2305" width="52" style="235" customWidth="1"/>
    <col min="2306" max="2306" width="10" style="235" bestFit="1" customWidth="1"/>
    <col min="2307" max="2560" width="8.85546875" style="235"/>
    <col min="2561" max="2561" width="52" style="235" customWidth="1"/>
    <col min="2562" max="2562" width="10" style="235" bestFit="1" customWidth="1"/>
    <col min="2563" max="2816" width="8.85546875" style="235"/>
    <col min="2817" max="2817" width="52" style="235" customWidth="1"/>
    <col min="2818" max="2818" width="10" style="235" bestFit="1" customWidth="1"/>
    <col min="2819" max="3072" width="8.85546875" style="235"/>
    <col min="3073" max="3073" width="52" style="235" customWidth="1"/>
    <col min="3074" max="3074" width="10" style="235" bestFit="1" customWidth="1"/>
    <col min="3075" max="3328" width="8.85546875" style="235"/>
    <col min="3329" max="3329" width="52" style="235" customWidth="1"/>
    <col min="3330" max="3330" width="10" style="235" bestFit="1" customWidth="1"/>
    <col min="3331" max="3584" width="8.85546875" style="235"/>
    <col min="3585" max="3585" width="52" style="235" customWidth="1"/>
    <col min="3586" max="3586" width="10" style="235" bestFit="1" customWidth="1"/>
    <col min="3587" max="3840" width="8.85546875" style="235"/>
    <col min="3841" max="3841" width="52" style="235" customWidth="1"/>
    <col min="3842" max="3842" width="10" style="235" bestFit="1" customWidth="1"/>
    <col min="3843" max="4096" width="8.85546875" style="235"/>
    <col min="4097" max="4097" width="52" style="235" customWidth="1"/>
    <col min="4098" max="4098" width="10" style="235" bestFit="1" customWidth="1"/>
    <col min="4099" max="4352" width="8.85546875" style="235"/>
    <col min="4353" max="4353" width="52" style="235" customWidth="1"/>
    <col min="4354" max="4354" width="10" style="235" bestFit="1" customWidth="1"/>
    <col min="4355" max="4608" width="8.85546875" style="235"/>
    <col min="4609" max="4609" width="52" style="235" customWidth="1"/>
    <col min="4610" max="4610" width="10" style="235" bestFit="1" customWidth="1"/>
    <col min="4611" max="4864" width="8.85546875" style="235"/>
    <col min="4865" max="4865" width="52" style="235" customWidth="1"/>
    <col min="4866" max="4866" width="10" style="235" bestFit="1" customWidth="1"/>
    <col min="4867" max="5120" width="8.85546875" style="235"/>
    <col min="5121" max="5121" width="52" style="235" customWidth="1"/>
    <col min="5122" max="5122" width="10" style="235" bestFit="1" customWidth="1"/>
    <col min="5123" max="5376" width="8.85546875" style="235"/>
    <col min="5377" max="5377" width="52" style="235" customWidth="1"/>
    <col min="5378" max="5378" width="10" style="235" bestFit="1" customWidth="1"/>
    <col min="5379" max="5632" width="8.85546875" style="235"/>
    <col min="5633" max="5633" width="52" style="235" customWidth="1"/>
    <col min="5634" max="5634" width="10" style="235" bestFit="1" customWidth="1"/>
    <col min="5635" max="5888" width="8.85546875" style="235"/>
    <col min="5889" max="5889" width="52" style="235" customWidth="1"/>
    <col min="5890" max="5890" width="10" style="235" bestFit="1" customWidth="1"/>
    <col min="5891" max="6144" width="8.85546875" style="235"/>
    <col min="6145" max="6145" width="52" style="235" customWidth="1"/>
    <col min="6146" max="6146" width="10" style="235" bestFit="1" customWidth="1"/>
    <col min="6147" max="6400" width="8.85546875" style="235"/>
    <col min="6401" max="6401" width="52" style="235" customWidth="1"/>
    <col min="6402" max="6402" width="10" style="235" bestFit="1" customWidth="1"/>
    <col min="6403" max="6656" width="8.85546875" style="235"/>
    <col min="6657" max="6657" width="52" style="235" customWidth="1"/>
    <col min="6658" max="6658" width="10" style="235" bestFit="1" customWidth="1"/>
    <col min="6659" max="6912" width="8.85546875" style="235"/>
    <col min="6913" max="6913" width="52" style="235" customWidth="1"/>
    <col min="6914" max="6914" width="10" style="235" bestFit="1" customWidth="1"/>
    <col min="6915" max="7168" width="8.85546875" style="235"/>
    <col min="7169" max="7169" width="52" style="235" customWidth="1"/>
    <col min="7170" max="7170" width="10" style="235" bestFit="1" customWidth="1"/>
    <col min="7171" max="7424" width="8.85546875" style="235"/>
    <col min="7425" max="7425" width="52" style="235" customWidth="1"/>
    <col min="7426" max="7426" width="10" style="235" bestFit="1" customWidth="1"/>
    <col min="7427" max="7680" width="8.85546875" style="235"/>
    <col min="7681" max="7681" width="52" style="235" customWidth="1"/>
    <col min="7682" max="7682" width="10" style="235" bestFit="1" customWidth="1"/>
    <col min="7683" max="7936" width="8.85546875" style="235"/>
    <col min="7937" max="7937" width="52" style="235" customWidth="1"/>
    <col min="7938" max="7938" width="10" style="235" bestFit="1" customWidth="1"/>
    <col min="7939" max="8192" width="8.85546875" style="235"/>
    <col min="8193" max="8193" width="52" style="235" customWidth="1"/>
    <col min="8194" max="8194" width="10" style="235" bestFit="1" customWidth="1"/>
    <col min="8195" max="8448" width="8.85546875" style="235"/>
    <col min="8449" max="8449" width="52" style="235" customWidth="1"/>
    <col min="8450" max="8450" width="10" style="235" bestFit="1" customWidth="1"/>
    <col min="8451" max="8704" width="8.85546875" style="235"/>
    <col min="8705" max="8705" width="52" style="235" customWidth="1"/>
    <col min="8706" max="8706" width="10" style="235" bestFit="1" customWidth="1"/>
    <col min="8707" max="8960" width="8.85546875" style="235"/>
    <col min="8961" max="8961" width="52" style="235" customWidth="1"/>
    <col min="8962" max="8962" width="10" style="235" bestFit="1" customWidth="1"/>
    <col min="8963" max="9216" width="8.85546875" style="235"/>
    <col min="9217" max="9217" width="52" style="235" customWidth="1"/>
    <col min="9218" max="9218" width="10" style="235" bestFit="1" customWidth="1"/>
    <col min="9219" max="9472" width="8.85546875" style="235"/>
    <col min="9473" max="9473" width="52" style="235" customWidth="1"/>
    <col min="9474" max="9474" width="10" style="235" bestFit="1" customWidth="1"/>
    <col min="9475" max="9728" width="8.85546875" style="235"/>
    <col min="9729" max="9729" width="52" style="235" customWidth="1"/>
    <col min="9730" max="9730" width="10" style="235" bestFit="1" customWidth="1"/>
    <col min="9731" max="9984" width="8.85546875" style="235"/>
    <col min="9985" max="9985" width="52" style="235" customWidth="1"/>
    <col min="9986" max="9986" width="10" style="235" bestFit="1" customWidth="1"/>
    <col min="9987" max="10240" width="8.85546875" style="235"/>
    <col min="10241" max="10241" width="52" style="235" customWidth="1"/>
    <col min="10242" max="10242" width="10" style="235" bestFit="1" customWidth="1"/>
    <col min="10243" max="10496" width="8.85546875" style="235"/>
    <col min="10497" max="10497" width="52" style="235" customWidth="1"/>
    <col min="10498" max="10498" width="10" style="235" bestFit="1" customWidth="1"/>
    <col min="10499" max="10752" width="8.85546875" style="235"/>
    <col min="10753" max="10753" width="52" style="235" customWidth="1"/>
    <col min="10754" max="10754" width="10" style="235" bestFit="1" customWidth="1"/>
    <col min="10755" max="11008" width="8.85546875" style="235"/>
    <col min="11009" max="11009" width="52" style="235" customWidth="1"/>
    <col min="11010" max="11010" width="10" style="235" bestFit="1" customWidth="1"/>
    <col min="11011" max="11264" width="8.85546875" style="235"/>
    <col min="11265" max="11265" width="52" style="235" customWidth="1"/>
    <col min="11266" max="11266" width="10" style="235" bestFit="1" customWidth="1"/>
    <col min="11267" max="11520" width="8.85546875" style="235"/>
    <col min="11521" max="11521" width="52" style="235" customWidth="1"/>
    <col min="11522" max="11522" width="10" style="235" bestFit="1" customWidth="1"/>
    <col min="11523" max="11776" width="8.85546875" style="235"/>
    <col min="11777" max="11777" width="52" style="235" customWidth="1"/>
    <col min="11778" max="11778" width="10" style="235" bestFit="1" customWidth="1"/>
    <col min="11779" max="12032" width="8.85546875" style="235"/>
    <col min="12033" max="12033" width="52" style="235" customWidth="1"/>
    <col min="12034" max="12034" width="10" style="235" bestFit="1" customWidth="1"/>
    <col min="12035" max="12288" width="8.85546875" style="235"/>
    <col min="12289" max="12289" width="52" style="235" customWidth="1"/>
    <col min="12290" max="12290" width="10" style="235" bestFit="1" customWidth="1"/>
    <col min="12291" max="12544" width="8.85546875" style="235"/>
    <col min="12545" max="12545" width="52" style="235" customWidth="1"/>
    <col min="12546" max="12546" width="10" style="235" bestFit="1" customWidth="1"/>
    <col min="12547" max="12800" width="8.85546875" style="235"/>
    <col min="12801" max="12801" width="52" style="235" customWidth="1"/>
    <col min="12802" max="12802" width="10" style="235" bestFit="1" customWidth="1"/>
    <col min="12803" max="13056" width="8.85546875" style="235"/>
    <col min="13057" max="13057" width="52" style="235" customWidth="1"/>
    <col min="13058" max="13058" width="10" style="235" bestFit="1" customWidth="1"/>
    <col min="13059" max="13312" width="8.85546875" style="235"/>
    <col min="13313" max="13313" width="52" style="235" customWidth="1"/>
    <col min="13314" max="13314" width="10" style="235" bestFit="1" customWidth="1"/>
    <col min="13315" max="13568" width="8.85546875" style="235"/>
    <col min="13569" max="13569" width="52" style="235" customWidth="1"/>
    <col min="13570" max="13570" width="10" style="235" bestFit="1" customWidth="1"/>
    <col min="13571" max="13824" width="8.85546875" style="235"/>
    <col min="13825" max="13825" width="52" style="235" customWidth="1"/>
    <col min="13826" max="13826" width="10" style="235" bestFit="1" customWidth="1"/>
    <col min="13827" max="14080" width="8.85546875" style="235"/>
    <col min="14081" max="14081" width="52" style="235" customWidth="1"/>
    <col min="14082" max="14082" width="10" style="235" bestFit="1" customWidth="1"/>
    <col min="14083" max="14336" width="8.85546875" style="235"/>
    <col min="14337" max="14337" width="52" style="235" customWidth="1"/>
    <col min="14338" max="14338" width="10" style="235" bestFit="1" customWidth="1"/>
    <col min="14339" max="14592" width="8.85546875" style="235"/>
    <col min="14593" max="14593" width="52" style="235" customWidth="1"/>
    <col min="14594" max="14594" width="10" style="235" bestFit="1" customWidth="1"/>
    <col min="14595" max="14848" width="8.85546875" style="235"/>
    <col min="14849" max="14849" width="52" style="235" customWidth="1"/>
    <col min="14850" max="14850" width="10" style="235" bestFit="1" customWidth="1"/>
    <col min="14851" max="15104" width="8.85546875" style="235"/>
    <col min="15105" max="15105" width="52" style="235" customWidth="1"/>
    <col min="15106" max="15106" width="10" style="235" bestFit="1" customWidth="1"/>
    <col min="15107" max="15360" width="8.85546875" style="235"/>
    <col min="15361" max="15361" width="52" style="235" customWidth="1"/>
    <col min="15362" max="15362" width="10" style="235" bestFit="1" customWidth="1"/>
    <col min="15363" max="15616" width="8.85546875" style="235"/>
    <col min="15617" max="15617" width="52" style="235" customWidth="1"/>
    <col min="15618" max="15618" width="10" style="235" bestFit="1" customWidth="1"/>
    <col min="15619" max="15872" width="8.85546875" style="235"/>
    <col min="15873" max="15873" width="52" style="235" customWidth="1"/>
    <col min="15874" max="15874" width="10" style="235" bestFit="1" customWidth="1"/>
    <col min="15875" max="16128" width="8.85546875" style="235"/>
    <col min="16129" max="16129" width="52" style="235" customWidth="1"/>
    <col min="16130" max="16130" width="10" style="235" bestFit="1" customWidth="1"/>
    <col min="16131" max="16384" width="8.85546875" style="235"/>
  </cols>
  <sheetData>
    <row r="1" spans="1:2" ht="15.75" thickBot="1" x14ac:dyDescent="0.3">
      <c r="A1" s="717" t="s">
        <v>333</v>
      </c>
      <c r="B1" s="718"/>
    </row>
    <row r="2" spans="1:2" ht="15.75" thickBot="1" x14ac:dyDescent="0.3">
      <c r="A2" s="300" t="s">
        <v>334</v>
      </c>
      <c r="B2" s="283"/>
    </row>
    <row r="3" spans="1:2" ht="15.75" thickBot="1" x14ac:dyDescent="0.3">
      <c r="A3" s="290" t="s">
        <v>78</v>
      </c>
      <c r="B3" s="278"/>
    </row>
    <row r="4" spans="1:2" ht="15.75" thickBot="1" x14ac:dyDescent="0.3">
      <c r="A4" s="279" t="s">
        <v>307</v>
      </c>
      <c r="B4" s="275"/>
    </row>
    <row r="5" spans="1:2" ht="15.75" thickBot="1" x14ac:dyDescent="0.3">
      <c r="A5" s="277" t="s">
        <v>335</v>
      </c>
      <c r="B5" s="278"/>
    </row>
    <row r="6" spans="1:2" ht="15.75" thickBot="1" x14ac:dyDescent="0.3">
      <c r="A6" s="277" t="s">
        <v>396</v>
      </c>
      <c r="B6" s="338"/>
    </row>
    <row r="7" spans="1:2" ht="15.75" thickBot="1" x14ac:dyDescent="0.3">
      <c r="A7" s="336" t="s">
        <v>380</v>
      </c>
      <c r="B7" s="338"/>
    </row>
    <row r="8" spans="1:2" ht="15.75" thickBot="1" x14ac:dyDescent="0.3">
      <c r="A8" s="336" t="s">
        <v>381</v>
      </c>
      <c r="B8" s="338"/>
    </row>
    <row r="9" spans="1:2" ht="15.75" thickBot="1" x14ac:dyDescent="0.3">
      <c r="A9" s="277" t="s">
        <v>382</v>
      </c>
      <c r="B9" s="338"/>
    </row>
    <row r="10" spans="1:2" ht="15.75" thickBot="1" x14ac:dyDescent="0.3">
      <c r="A10" s="277" t="s">
        <v>383</v>
      </c>
      <c r="B10" s="338"/>
    </row>
    <row r="11" spans="1:2" ht="15.75" thickBot="1" x14ac:dyDescent="0.3">
      <c r="A11" s="277" t="s">
        <v>337</v>
      </c>
      <c r="B11" s="335"/>
    </row>
    <row r="12" spans="1:2" ht="15.75" thickBot="1" x14ac:dyDescent="0.3">
      <c r="A12" s="290" t="s">
        <v>312</v>
      </c>
      <c r="B12" s="278"/>
    </row>
    <row r="13" spans="1:2" ht="15.75" thickBot="1" x14ac:dyDescent="0.3">
      <c r="A13" s="279" t="s">
        <v>313</v>
      </c>
      <c r="B13" s="275"/>
    </row>
    <row r="14" spans="1:2" ht="15.75" thickBot="1" x14ac:dyDescent="0.3">
      <c r="A14" s="295" t="s">
        <v>314</v>
      </c>
      <c r="B14" s="278"/>
    </row>
    <row r="15" spans="1:2" ht="15.75" thickBot="1" x14ac:dyDescent="0.3">
      <c r="A15" s="295" t="s">
        <v>385</v>
      </c>
      <c r="B15" s="278"/>
    </row>
    <row r="16" spans="1:2" ht="15.75" thickBot="1" x14ac:dyDescent="0.3">
      <c r="A16" s="337" t="s">
        <v>386</v>
      </c>
      <c r="B16" s="278"/>
    </row>
    <row r="17" spans="1:3" ht="15.75" thickBot="1" x14ac:dyDescent="0.3">
      <c r="A17" s="295" t="s">
        <v>315</v>
      </c>
      <c r="B17" s="278"/>
    </row>
    <row r="18" spans="1:3" ht="15.75" thickBot="1" x14ac:dyDescent="0.3">
      <c r="A18" s="277" t="s">
        <v>387</v>
      </c>
      <c r="B18" s="278"/>
    </row>
    <row r="19" spans="1:3" ht="15.75" thickBot="1" x14ac:dyDescent="0.3">
      <c r="A19" s="277" t="s">
        <v>388</v>
      </c>
      <c r="B19" s="338"/>
    </row>
    <row r="20" spans="1:3" ht="15.75" thickBot="1" x14ac:dyDescent="0.3">
      <c r="A20" s="277" t="s">
        <v>318</v>
      </c>
      <c r="B20" s="278"/>
    </row>
    <row r="21" spans="1:3" ht="15.75" thickBot="1" x14ac:dyDescent="0.3">
      <c r="A21" s="277" t="s">
        <v>319</v>
      </c>
      <c r="B21" s="278"/>
    </row>
    <row r="22" spans="1:3" ht="15.75" thickBot="1" x14ac:dyDescent="0.3">
      <c r="A22" s="277" t="s">
        <v>389</v>
      </c>
      <c r="B22" s="278"/>
    </row>
    <row r="23" spans="1:3" ht="15.75" thickBot="1" x14ac:dyDescent="0.3">
      <c r="A23" s="277" t="s">
        <v>390</v>
      </c>
      <c r="B23" s="278"/>
    </row>
    <row r="24" spans="1:3" ht="15.75" thickBot="1" x14ac:dyDescent="0.3">
      <c r="A24" s="301" t="s">
        <v>321</v>
      </c>
      <c r="B24" s="339"/>
    </row>
    <row r="25" spans="1:3" ht="15.75" thickBot="1" x14ac:dyDescent="0.3">
      <c r="A25" s="302" t="s">
        <v>271</v>
      </c>
      <c r="B25" s="340"/>
    </row>
    <row r="26" spans="1:3" ht="15.75" thickBot="1" x14ac:dyDescent="0.3">
      <c r="A26" s="277" t="s">
        <v>392</v>
      </c>
      <c r="B26" s="341"/>
    </row>
    <row r="27" spans="1:3" ht="15.75" thickBot="1" x14ac:dyDescent="0.3">
      <c r="A27" s="301" t="s">
        <v>325</v>
      </c>
      <c r="B27" s="342"/>
    </row>
    <row r="28" spans="1:3" ht="15.75" thickBot="1" x14ac:dyDescent="0.3">
      <c r="A28" s="302" t="s">
        <v>340</v>
      </c>
      <c r="B28" s="340"/>
    </row>
    <row r="29" spans="1:3" ht="15.75" thickBot="1" x14ac:dyDescent="0.3">
      <c r="A29" s="297" t="s">
        <v>114</v>
      </c>
      <c r="B29" s="343"/>
    </row>
    <row r="30" spans="1:3" ht="15.75" thickBot="1" x14ac:dyDescent="0.3">
      <c r="A30" s="301" t="s">
        <v>331</v>
      </c>
      <c r="B30" s="339"/>
      <c r="C30" s="235" t="s">
        <v>341</v>
      </c>
    </row>
    <row r="31" spans="1:3" ht="15.75" thickBot="1" x14ac:dyDescent="0.3">
      <c r="A31" s="293" t="s">
        <v>332</v>
      </c>
      <c r="B31" s="296"/>
    </row>
    <row r="32" spans="1:3" ht="15.75" thickBot="1" x14ac:dyDescent="0.3">
      <c r="A32" s="290" t="s">
        <v>342</v>
      </c>
      <c r="B32" s="278"/>
    </row>
    <row r="33" spans="1:2" ht="15.75" thickBot="1" x14ac:dyDescent="0.3">
      <c r="A33" s="290" t="s">
        <v>343</v>
      </c>
      <c r="B33" s="278"/>
    </row>
    <row r="34" spans="1:2" ht="15.75" thickBot="1" x14ac:dyDescent="0.3">
      <c r="A34" s="293" t="s">
        <v>344</v>
      </c>
      <c r="B34" s="296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showGridLines="0" topLeftCell="A25" zoomScale="98" zoomScaleNormal="98" workbookViewId="0">
      <selection activeCell="L55" sqref="L55"/>
    </sheetView>
  </sheetViews>
  <sheetFormatPr defaultRowHeight="15" x14ac:dyDescent="0.25"/>
  <cols>
    <col min="1" max="1" width="34.140625" style="237" bestFit="1" customWidth="1"/>
    <col min="2" max="2" width="16.5703125" style="237" customWidth="1"/>
    <col min="3" max="5" width="14.28515625" style="237" bestFit="1" customWidth="1"/>
    <col min="6" max="6" width="31.42578125" style="237" bestFit="1" customWidth="1"/>
    <col min="7" max="7" width="16.42578125" style="237" bestFit="1" customWidth="1"/>
    <col min="8" max="10" width="14.28515625" style="237" bestFit="1" customWidth="1"/>
    <col min="11" max="11" width="10.7109375" style="237" bestFit="1" customWidth="1"/>
    <col min="12" max="256" width="9.140625" style="237"/>
    <col min="257" max="257" width="34.140625" style="237" bestFit="1" customWidth="1"/>
    <col min="258" max="258" width="16.5703125" style="237" customWidth="1"/>
    <col min="259" max="259" width="14.28515625" style="237" bestFit="1" customWidth="1"/>
    <col min="260" max="260" width="10.7109375" style="237" bestFit="1" customWidth="1"/>
    <col min="261" max="261" width="14.28515625" style="237" bestFit="1" customWidth="1"/>
    <col min="262" max="262" width="31.42578125" style="237" bestFit="1" customWidth="1"/>
    <col min="263" max="263" width="16.42578125" style="237" bestFit="1" customWidth="1"/>
    <col min="264" max="264" width="9.7109375" style="237" bestFit="1" customWidth="1"/>
    <col min="265" max="265" width="12.140625" style="237" bestFit="1" customWidth="1"/>
    <col min="266" max="266" width="10.5703125" style="237" customWidth="1"/>
    <col min="267" max="267" width="10.7109375" style="237" bestFit="1" customWidth="1"/>
    <col min="268" max="512" width="9.140625" style="237"/>
    <col min="513" max="513" width="34.140625" style="237" bestFit="1" customWidth="1"/>
    <col min="514" max="514" width="16.5703125" style="237" customWidth="1"/>
    <col min="515" max="515" width="14.28515625" style="237" bestFit="1" customWidth="1"/>
    <col min="516" max="516" width="10.7109375" style="237" bestFit="1" customWidth="1"/>
    <col min="517" max="517" width="14.28515625" style="237" bestFit="1" customWidth="1"/>
    <col min="518" max="518" width="31.42578125" style="237" bestFit="1" customWidth="1"/>
    <col min="519" max="519" width="16.42578125" style="237" bestFit="1" customWidth="1"/>
    <col min="520" max="520" width="9.7109375" style="237" bestFit="1" customWidth="1"/>
    <col min="521" max="521" width="12.140625" style="237" bestFit="1" customWidth="1"/>
    <col min="522" max="522" width="10.5703125" style="237" customWidth="1"/>
    <col min="523" max="523" width="10.7109375" style="237" bestFit="1" customWidth="1"/>
    <col min="524" max="768" width="9.140625" style="237"/>
    <col min="769" max="769" width="34.140625" style="237" bestFit="1" customWidth="1"/>
    <col min="770" max="770" width="16.5703125" style="237" customWidth="1"/>
    <col min="771" max="771" width="14.28515625" style="237" bestFit="1" customWidth="1"/>
    <col min="772" max="772" width="10.7109375" style="237" bestFit="1" customWidth="1"/>
    <col min="773" max="773" width="14.28515625" style="237" bestFit="1" customWidth="1"/>
    <col min="774" max="774" width="31.42578125" style="237" bestFit="1" customWidth="1"/>
    <col min="775" max="775" width="16.42578125" style="237" bestFit="1" customWidth="1"/>
    <col min="776" max="776" width="9.7109375" style="237" bestFit="1" customWidth="1"/>
    <col min="777" max="777" width="12.140625" style="237" bestFit="1" customWidth="1"/>
    <col min="778" max="778" width="10.5703125" style="237" customWidth="1"/>
    <col min="779" max="779" width="10.7109375" style="237" bestFit="1" customWidth="1"/>
    <col min="780" max="1024" width="9.140625" style="237"/>
    <col min="1025" max="1025" width="34.140625" style="237" bestFit="1" customWidth="1"/>
    <col min="1026" max="1026" width="16.5703125" style="237" customWidth="1"/>
    <col min="1027" max="1027" width="14.28515625" style="237" bestFit="1" customWidth="1"/>
    <col min="1028" max="1028" width="10.7109375" style="237" bestFit="1" customWidth="1"/>
    <col min="1029" max="1029" width="14.28515625" style="237" bestFit="1" customWidth="1"/>
    <col min="1030" max="1030" width="31.42578125" style="237" bestFit="1" customWidth="1"/>
    <col min="1031" max="1031" width="16.42578125" style="237" bestFit="1" customWidth="1"/>
    <col min="1032" max="1032" width="9.7109375" style="237" bestFit="1" customWidth="1"/>
    <col min="1033" max="1033" width="12.140625" style="237" bestFit="1" customWidth="1"/>
    <col min="1034" max="1034" width="10.5703125" style="237" customWidth="1"/>
    <col min="1035" max="1035" width="10.7109375" style="237" bestFit="1" customWidth="1"/>
    <col min="1036" max="1280" width="9.140625" style="237"/>
    <col min="1281" max="1281" width="34.140625" style="237" bestFit="1" customWidth="1"/>
    <col min="1282" max="1282" width="16.5703125" style="237" customWidth="1"/>
    <col min="1283" max="1283" width="14.28515625" style="237" bestFit="1" customWidth="1"/>
    <col min="1284" max="1284" width="10.7109375" style="237" bestFit="1" customWidth="1"/>
    <col min="1285" max="1285" width="14.28515625" style="237" bestFit="1" customWidth="1"/>
    <col min="1286" max="1286" width="31.42578125" style="237" bestFit="1" customWidth="1"/>
    <col min="1287" max="1287" width="16.42578125" style="237" bestFit="1" customWidth="1"/>
    <col min="1288" max="1288" width="9.7109375" style="237" bestFit="1" customWidth="1"/>
    <col min="1289" max="1289" width="12.140625" style="237" bestFit="1" customWidth="1"/>
    <col min="1290" max="1290" width="10.5703125" style="237" customWidth="1"/>
    <col min="1291" max="1291" width="10.7109375" style="237" bestFit="1" customWidth="1"/>
    <col min="1292" max="1536" width="9.140625" style="237"/>
    <col min="1537" max="1537" width="34.140625" style="237" bestFit="1" customWidth="1"/>
    <col min="1538" max="1538" width="16.5703125" style="237" customWidth="1"/>
    <col min="1539" max="1539" width="14.28515625" style="237" bestFit="1" customWidth="1"/>
    <col min="1540" max="1540" width="10.7109375" style="237" bestFit="1" customWidth="1"/>
    <col min="1541" max="1541" width="14.28515625" style="237" bestFit="1" customWidth="1"/>
    <col min="1542" max="1542" width="31.42578125" style="237" bestFit="1" customWidth="1"/>
    <col min="1543" max="1543" width="16.42578125" style="237" bestFit="1" customWidth="1"/>
    <col min="1544" max="1544" width="9.7109375" style="237" bestFit="1" customWidth="1"/>
    <col min="1545" max="1545" width="12.140625" style="237" bestFit="1" customWidth="1"/>
    <col min="1546" max="1546" width="10.5703125" style="237" customWidth="1"/>
    <col min="1547" max="1547" width="10.7109375" style="237" bestFit="1" customWidth="1"/>
    <col min="1548" max="1792" width="9.140625" style="237"/>
    <col min="1793" max="1793" width="34.140625" style="237" bestFit="1" customWidth="1"/>
    <col min="1794" max="1794" width="16.5703125" style="237" customWidth="1"/>
    <col min="1795" max="1795" width="14.28515625" style="237" bestFit="1" customWidth="1"/>
    <col min="1796" max="1796" width="10.7109375" style="237" bestFit="1" customWidth="1"/>
    <col min="1797" max="1797" width="14.28515625" style="237" bestFit="1" customWidth="1"/>
    <col min="1798" max="1798" width="31.42578125" style="237" bestFit="1" customWidth="1"/>
    <col min="1799" max="1799" width="16.42578125" style="237" bestFit="1" customWidth="1"/>
    <col min="1800" max="1800" width="9.7109375" style="237" bestFit="1" customWidth="1"/>
    <col min="1801" max="1801" width="12.140625" style="237" bestFit="1" customWidth="1"/>
    <col min="1802" max="1802" width="10.5703125" style="237" customWidth="1"/>
    <col min="1803" max="1803" width="10.7109375" style="237" bestFit="1" customWidth="1"/>
    <col min="1804" max="2048" width="9.140625" style="237"/>
    <col min="2049" max="2049" width="34.140625" style="237" bestFit="1" customWidth="1"/>
    <col min="2050" max="2050" width="16.5703125" style="237" customWidth="1"/>
    <col min="2051" max="2051" width="14.28515625" style="237" bestFit="1" customWidth="1"/>
    <col min="2052" max="2052" width="10.7109375" style="237" bestFit="1" customWidth="1"/>
    <col min="2053" max="2053" width="14.28515625" style="237" bestFit="1" customWidth="1"/>
    <col min="2054" max="2054" width="31.42578125" style="237" bestFit="1" customWidth="1"/>
    <col min="2055" max="2055" width="16.42578125" style="237" bestFit="1" customWidth="1"/>
    <col min="2056" max="2056" width="9.7109375" style="237" bestFit="1" customWidth="1"/>
    <col min="2057" max="2057" width="12.140625" style="237" bestFit="1" customWidth="1"/>
    <col min="2058" max="2058" width="10.5703125" style="237" customWidth="1"/>
    <col min="2059" max="2059" width="10.7109375" style="237" bestFit="1" customWidth="1"/>
    <col min="2060" max="2304" width="9.140625" style="237"/>
    <col min="2305" max="2305" width="34.140625" style="237" bestFit="1" customWidth="1"/>
    <col min="2306" max="2306" width="16.5703125" style="237" customWidth="1"/>
    <col min="2307" max="2307" width="14.28515625" style="237" bestFit="1" customWidth="1"/>
    <col min="2308" max="2308" width="10.7109375" style="237" bestFit="1" customWidth="1"/>
    <col min="2309" max="2309" width="14.28515625" style="237" bestFit="1" customWidth="1"/>
    <col min="2310" max="2310" width="31.42578125" style="237" bestFit="1" customWidth="1"/>
    <col min="2311" max="2311" width="16.42578125" style="237" bestFit="1" customWidth="1"/>
    <col min="2312" max="2312" width="9.7109375" style="237" bestFit="1" customWidth="1"/>
    <col min="2313" max="2313" width="12.140625" style="237" bestFit="1" customWidth="1"/>
    <col min="2314" max="2314" width="10.5703125" style="237" customWidth="1"/>
    <col min="2315" max="2315" width="10.7109375" style="237" bestFit="1" customWidth="1"/>
    <col min="2316" max="2560" width="9.140625" style="237"/>
    <col min="2561" max="2561" width="34.140625" style="237" bestFit="1" customWidth="1"/>
    <col min="2562" max="2562" width="16.5703125" style="237" customWidth="1"/>
    <col min="2563" max="2563" width="14.28515625" style="237" bestFit="1" customWidth="1"/>
    <col min="2564" max="2564" width="10.7109375" style="237" bestFit="1" customWidth="1"/>
    <col min="2565" max="2565" width="14.28515625" style="237" bestFit="1" customWidth="1"/>
    <col min="2566" max="2566" width="31.42578125" style="237" bestFit="1" customWidth="1"/>
    <col min="2567" max="2567" width="16.42578125" style="237" bestFit="1" customWidth="1"/>
    <col min="2568" max="2568" width="9.7109375" style="237" bestFit="1" customWidth="1"/>
    <col min="2569" max="2569" width="12.140625" style="237" bestFit="1" customWidth="1"/>
    <col min="2570" max="2570" width="10.5703125" style="237" customWidth="1"/>
    <col min="2571" max="2571" width="10.7109375" style="237" bestFit="1" customWidth="1"/>
    <col min="2572" max="2816" width="9.140625" style="237"/>
    <col min="2817" max="2817" width="34.140625" style="237" bestFit="1" customWidth="1"/>
    <col min="2818" max="2818" width="16.5703125" style="237" customWidth="1"/>
    <col min="2819" max="2819" width="14.28515625" style="237" bestFit="1" customWidth="1"/>
    <col min="2820" max="2820" width="10.7109375" style="237" bestFit="1" customWidth="1"/>
    <col min="2821" max="2821" width="14.28515625" style="237" bestFit="1" customWidth="1"/>
    <col min="2822" max="2822" width="31.42578125" style="237" bestFit="1" customWidth="1"/>
    <col min="2823" max="2823" width="16.42578125" style="237" bestFit="1" customWidth="1"/>
    <col min="2824" max="2824" width="9.7109375" style="237" bestFit="1" customWidth="1"/>
    <col min="2825" max="2825" width="12.140625" style="237" bestFit="1" customWidth="1"/>
    <col min="2826" max="2826" width="10.5703125" style="237" customWidth="1"/>
    <col min="2827" max="2827" width="10.7109375" style="237" bestFit="1" customWidth="1"/>
    <col min="2828" max="3072" width="9.140625" style="237"/>
    <col min="3073" max="3073" width="34.140625" style="237" bestFit="1" customWidth="1"/>
    <col min="3074" max="3074" width="16.5703125" style="237" customWidth="1"/>
    <col min="3075" max="3075" width="14.28515625" style="237" bestFit="1" customWidth="1"/>
    <col min="3076" max="3076" width="10.7109375" style="237" bestFit="1" customWidth="1"/>
    <col min="3077" max="3077" width="14.28515625" style="237" bestFit="1" customWidth="1"/>
    <col min="3078" max="3078" width="31.42578125" style="237" bestFit="1" customWidth="1"/>
    <col min="3079" max="3079" width="16.42578125" style="237" bestFit="1" customWidth="1"/>
    <col min="3080" max="3080" width="9.7109375" style="237" bestFit="1" customWidth="1"/>
    <col min="3081" max="3081" width="12.140625" style="237" bestFit="1" customWidth="1"/>
    <col min="3082" max="3082" width="10.5703125" style="237" customWidth="1"/>
    <col min="3083" max="3083" width="10.7109375" style="237" bestFit="1" customWidth="1"/>
    <col min="3084" max="3328" width="9.140625" style="237"/>
    <col min="3329" max="3329" width="34.140625" style="237" bestFit="1" customWidth="1"/>
    <col min="3330" max="3330" width="16.5703125" style="237" customWidth="1"/>
    <col min="3331" max="3331" width="14.28515625" style="237" bestFit="1" customWidth="1"/>
    <col min="3332" max="3332" width="10.7109375" style="237" bestFit="1" customWidth="1"/>
    <col min="3333" max="3333" width="14.28515625" style="237" bestFit="1" customWidth="1"/>
    <col min="3334" max="3334" width="31.42578125" style="237" bestFit="1" customWidth="1"/>
    <col min="3335" max="3335" width="16.42578125" style="237" bestFit="1" customWidth="1"/>
    <col min="3336" max="3336" width="9.7109375" style="237" bestFit="1" customWidth="1"/>
    <col min="3337" max="3337" width="12.140625" style="237" bestFit="1" customWidth="1"/>
    <col min="3338" max="3338" width="10.5703125" style="237" customWidth="1"/>
    <col min="3339" max="3339" width="10.7109375" style="237" bestFit="1" customWidth="1"/>
    <col min="3340" max="3584" width="9.140625" style="237"/>
    <col min="3585" max="3585" width="34.140625" style="237" bestFit="1" customWidth="1"/>
    <col min="3586" max="3586" width="16.5703125" style="237" customWidth="1"/>
    <col min="3587" max="3587" width="14.28515625" style="237" bestFit="1" customWidth="1"/>
    <col min="3588" max="3588" width="10.7109375" style="237" bestFit="1" customWidth="1"/>
    <col min="3589" max="3589" width="14.28515625" style="237" bestFit="1" customWidth="1"/>
    <col min="3590" max="3590" width="31.42578125" style="237" bestFit="1" customWidth="1"/>
    <col min="3591" max="3591" width="16.42578125" style="237" bestFit="1" customWidth="1"/>
    <col min="3592" max="3592" width="9.7109375" style="237" bestFit="1" customWidth="1"/>
    <col min="3593" max="3593" width="12.140625" style="237" bestFit="1" customWidth="1"/>
    <col min="3594" max="3594" width="10.5703125" style="237" customWidth="1"/>
    <col min="3595" max="3595" width="10.7109375" style="237" bestFit="1" customWidth="1"/>
    <col min="3596" max="3840" width="9.140625" style="237"/>
    <col min="3841" max="3841" width="34.140625" style="237" bestFit="1" customWidth="1"/>
    <col min="3842" max="3842" width="16.5703125" style="237" customWidth="1"/>
    <col min="3843" max="3843" width="14.28515625" style="237" bestFit="1" customWidth="1"/>
    <col min="3844" max="3844" width="10.7109375" style="237" bestFit="1" customWidth="1"/>
    <col min="3845" max="3845" width="14.28515625" style="237" bestFit="1" customWidth="1"/>
    <col min="3846" max="3846" width="31.42578125" style="237" bestFit="1" customWidth="1"/>
    <col min="3847" max="3847" width="16.42578125" style="237" bestFit="1" customWidth="1"/>
    <col min="3848" max="3848" width="9.7109375" style="237" bestFit="1" customWidth="1"/>
    <col min="3849" max="3849" width="12.140625" style="237" bestFit="1" customWidth="1"/>
    <col min="3850" max="3850" width="10.5703125" style="237" customWidth="1"/>
    <col min="3851" max="3851" width="10.7109375" style="237" bestFit="1" customWidth="1"/>
    <col min="3852" max="4096" width="9.140625" style="237"/>
    <col min="4097" max="4097" width="34.140625" style="237" bestFit="1" customWidth="1"/>
    <col min="4098" max="4098" width="16.5703125" style="237" customWidth="1"/>
    <col min="4099" max="4099" width="14.28515625" style="237" bestFit="1" customWidth="1"/>
    <col min="4100" max="4100" width="10.7109375" style="237" bestFit="1" customWidth="1"/>
    <col min="4101" max="4101" width="14.28515625" style="237" bestFit="1" customWidth="1"/>
    <col min="4102" max="4102" width="31.42578125" style="237" bestFit="1" customWidth="1"/>
    <col min="4103" max="4103" width="16.42578125" style="237" bestFit="1" customWidth="1"/>
    <col min="4104" max="4104" width="9.7109375" style="237" bestFit="1" customWidth="1"/>
    <col min="4105" max="4105" width="12.140625" style="237" bestFit="1" customWidth="1"/>
    <col min="4106" max="4106" width="10.5703125" style="237" customWidth="1"/>
    <col min="4107" max="4107" width="10.7109375" style="237" bestFit="1" customWidth="1"/>
    <col min="4108" max="4352" width="9.140625" style="237"/>
    <col min="4353" max="4353" width="34.140625" style="237" bestFit="1" customWidth="1"/>
    <col min="4354" max="4354" width="16.5703125" style="237" customWidth="1"/>
    <col min="4355" max="4355" width="14.28515625" style="237" bestFit="1" customWidth="1"/>
    <col min="4356" max="4356" width="10.7109375" style="237" bestFit="1" customWidth="1"/>
    <col min="4357" max="4357" width="14.28515625" style="237" bestFit="1" customWidth="1"/>
    <col min="4358" max="4358" width="31.42578125" style="237" bestFit="1" customWidth="1"/>
    <col min="4359" max="4359" width="16.42578125" style="237" bestFit="1" customWidth="1"/>
    <col min="4360" max="4360" width="9.7109375" style="237" bestFit="1" customWidth="1"/>
    <col min="4361" max="4361" width="12.140625" style="237" bestFit="1" customWidth="1"/>
    <col min="4362" max="4362" width="10.5703125" style="237" customWidth="1"/>
    <col min="4363" max="4363" width="10.7109375" style="237" bestFit="1" customWidth="1"/>
    <col min="4364" max="4608" width="9.140625" style="237"/>
    <col min="4609" max="4609" width="34.140625" style="237" bestFit="1" customWidth="1"/>
    <col min="4610" max="4610" width="16.5703125" style="237" customWidth="1"/>
    <col min="4611" max="4611" width="14.28515625" style="237" bestFit="1" customWidth="1"/>
    <col min="4612" max="4612" width="10.7109375" style="237" bestFit="1" customWidth="1"/>
    <col min="4613" max="4613" width="14.28515625" style="237" bestFit="1" customWidth="1"/>
    <col min="4614" max="4614" width="31.42578125" style="237" bestFit="1" customWidth="1"/>
    <col min="4615" max="4615" width="16.42578125" style="237" bestFit="1" customWidth="1"/>
    <col min="4616" max="4616" width="9.7109375" style="237" bestFit="1" customWidth="1"/>
    <col min="4617" max="4617" width="12.140625" style="237" bestFit="1" customWidth="1"/>
    <col min="4618" max="4618" width="10.5703125" style="237" customWidth="1"/>
    <col min="4619" max="4619" width="10.7109375" style="237" bestFit="1" customWidth="1"/>
    <col min="4620" max="4864" width="9.140625" style="237"/>
    <col min="4865" max="4865" width="34.140625" style="237" bestFit="1" customWidth="1"/>
    <col min="4866" max="4866" width="16.5703125" style="237" customWidth="1"/>
    <col min="4867" max="4867" width="14.28515625" style="237" bestFit="1" customWidth="1"/>
    <col min="4868" max="4868" width="10.7109375" style="237" bestFit="1" customWidth="1"/>
    <col min="4869" max="4869" width="14.28515625" style="237" bestFit="1" customWidth="1"/>
    <col min="4870" max="4870" width="31.42578125" style="237" bestFit="1" customWidth="1"/>
    <col min="4871" max="4871" width="16.42578125" style="237" bestFit="1" customWidth="1"/>
    <col min="4872" max="4872" width="9.7109375" style="237" bestFit="1" customWidth="1"/>
    <col min="4873" max="4873" width="12.140625" style="237" bestFit="1" customWidth="1"/>
    <col min="4874" max="4874" width="10.5703125" style="237" customWidth="1"/>
    <col min="4875" max="4875" width="10.7109375" style="237" bestFit="1" customWidth="1"/>
    <col min="4876" max="5120" width="9.140625" style="237"/>
    <col min="5121" max="5121" width="34.140625" style="237" bestFit="1" customWidth="1"/>
    <col min="5122" max="5122" width="16.5703125" style="237" customWidth="1"/>
    <col min="5123" max="5123" width="14.28515625" style="237" bestFit="1" customWidth="1"/>
    <col min="5124" max="5124" width="10.7109375" style="237" bestFit="1" customWidth="1"/>
    <col min="5125" max="5125" width="14.28515625" style="237" bestFit="1" customWidth="1"/>
    <col min="5126" max="5126" width="31.42578125" style="237" bestFit="1" customWidth="1"/>
    <col min="5127" max="5127" width="16.42578125" style="237" bestFit="1" customWidth="1"/>
    <col min="5128" max="5128" width="9.7109375" style="237" bestFit="1" customWidth="1"/>
    <col min="5129" max="5129" width="12.140625" style="237" bestFit="1" customWidth="1"/>
    <col min="5130" max="5130" width="10.5703125" style="237" customWidth="1"/>
    <col min="5131" max="5131" width="10.7109375" style="237" bestFit="1" customWidth="1"/>
    <col min="5132" max="5376" width="9.140625" style="237"/>
    <col min="5377" max="5377" width="34.140625" style="237" bestFit="1" customWidth="1"/>
    <col min="5378" max="5378" width="16.5703125" style="237" customWidth="1"/>
    <col min="5379" max="5379" width="14.28515625" style="237" bestFit="1" customWidth="1"/>
    <col min="5380" max="5380" width="10.7109375" style="237" bestFit="1" customWidth="1"/>
    <col min="5381" max="5381" width="14.28515625" style="237" bestFit="1" customWidth="1"/>
    <col min="5382" max="5382" width="31.42578125" style="237" bestFit="1" customWidth="1"/>
    <col min="5383" max="5383" width="16.42578125" style="237" bestFit="1" customWidth="1"/>
    <col min="5384" max="5384" width="9.7109375" style="237" bestFit="1" customWidth="1"/>
    <col min="5385" max="5385" width="12.140625" style="237" bestFit="1" customWidth="1"/>
    <col min="5386" max="5386" width="10.5703125" style="237" customWidth="1"/>
    <col min="5387" max="5387" width="10.7109375" style="237" bestFit="1" customWidth="1"/>
    <col min="5388" max="5632" width="9.140625" style="237"/>
    <col min="5633" max="5633" width="34.140625" style="237" bestFit="1" customWidth="1"/>
    <col min="5634" max="5634" width="16.5703125" style="237" customWidth="1"/>
    <col min="5635" max="5635" width="14.28515625" style="237" bestFit="1" customWidth="1"/>
    <col min="5636" max="5636" width="10.7109375" style="237" bestFit="1" customWidth="1"/>
    <col min="5637" max="5637" width="14.28515625" style="237" bestFit="1" customWidth="1"/>
    <col min="5638" max="5638" width="31.42578125" style="237" bestFit="1" customWidth="1"/>
    <col min="5639" max="5639" width="16.42578125" style="237" bestFit="1" customWidth="1"/>
    <col min="5640" max="5640" width="9.7109375" style="237" bestFit="1" customWidth="1"/>
    <col min="5641" max="5641" width="12.140625" style="237" bestFit="1" customWidth="1"/>
    <col min="5642" max="5642" width="10.5703125" style="237" customWidth="1"/>
    <col min="5643" max="5643" width="10.7109375" style="237" bestFit="1" customWidth="1"/>
    <col min="5644" max="5888" width="9.140625" style="237"/>
    <col min="5889" max="5889" width="34.140625" style="237" bestFit="1" customWidth="1"/>
    <col min="5890" max="5890" width="16.5703125" style="237" customWidth="1"/>
    <col min="5891" max="5891" width="14.28515625" style="237" bestFit="1" customWidth="1"/>
    <col min="5892" max="5892" width="10.7109375" style="237" bestFit="1" customWidth="1"/>
    <col min="5893" max="5893" width="14.28515625" style="237" bestFit="1" customWidth="1"/>
    <col min="5894" max="5894" width="31.42578125" style="237" bestFit="1" customWidth="1"/>
    <col min="5895" max="5895" width="16.42578125" style="237" bestFit="1" customWidth="1"/>
    <col min="5896" max="5896" width="9.7109375" style="237" bestFit="1" customWidth="1"/>
    <col min="5897" max="5897" width="12.140625" style="237" bestFit="1" customWidth="1"/>
    <col min="5898" max="5898" width="10.5703125" style="237" customWidth="1"/>
    <col min="5899" max="5899" width="10.7109375" style="237" bestFit="1" customWidth="1"/>
    <col min="5900" max="6144" width="9.140625" style="237"/>
    <col min="6145" max="6145" width="34.140625" style="237" bestFit="1" customWidth="1"/>
    <col min="6146" max="6146" width="16.5703125" style="237" customWidth="1"/>
    <col min="6147" max="6147" width="14.28515625" style="237" bestFit="1" customWidth="1"/>
    <col min="6148" max="6148" width="10.7109375" style="237" bestFit="1" customWidth="1"/>
    <col min="6149" max="6149" width="14.28515625" style="237" bestFit="1" customWidth="1"/>
    <col min="6150" max="6150" width="31.42578125" style="237" bestFit="1" customWidth="1"/>
    <col min="6151" max="6151" width="16.42578125" style="237" bestFit="1" customWidth="1"/>
    <col min="6152" max="6152" width="9.7109375" style="237" bestFit="1" customWidth="1"/>
    <col min="6153" max="6153" width="12.140625" style="237" bestFit="1" customWidth="1"/>
    <col min="6154" max="6154" width="10.5703125" style="237" customWidth="1"/>
    <col min="6155" max="6155" width="10.7109375" style="237" bestFit="1" customWidth="1"/>
    <col min="6156" max="6400" width="9.140625" style="237"/>
    <col min="6401" max="6401" width="34.140625" style="237" bestFit="1" customWidth="1"/>
    <col min="6402" max="6402" width="16.5703125" style="237" customWidth="1"/>
    <col min="6403" max="6403" width="14.28515625" style="237" bestFit="1" customWidth="1"/>
    <col min="6404" max="6404" width="10.7109375" style="237" bestFit="1" customWidth="1"/>
    <col min="6405" max="6405" width="14.28515625" style="237" bestFit="1" customWidth="1"/>
    <col min="6406" max="6406" width="31.42578125" style="237" bestFit="1" customWidth="1"/>
    <col min="6407" max="6407" width="16.42578125" style="237" bestFit="1" customWidth="1"/>
    <col min="6408" max="6408" width="9.7109375" style="237" bestFit="1" customWidth="1"/>
    <col min="6409" max="6409" width="12.140625" style="237" bestFit="1" customWidth="1"/>
    <col min="6410" max="6410" width="10.5703125" style="237" customWidth="1"/>
    <col min="6411" max="6411" width="10.7109375" style="237" bestFit="1" customWidth="1"/>
    <col min="6412" max="6656" width="9.140625" style="237"/>
    <col min="6657" max="6657" width="34.140625" style="237" bestFit="1" customWidth="1"/>
    <col min="6658" max="6658" width="16.5703125" style="237" customWidth="1"/>
    <col min="6659" max="6659" width="14.28515625" style="237" bestFit="1" customWidth="1"/>
    <col min="6660" max="6660" width="10.7109375" style="237" bestFit="1" customWidth="1"/>
    <col min="6661" max="6661" width="14.28515625" style="237" bestFit="1" customWidth="1"/>
    <col min="6662" max="6662" width="31.42578125" style="237" bestFit="1" customWidth="1"/>
    <col min="6663" max="6663" width="16.42578125" style="237" bestFit="1" customWidth="1"/>
    <col min="6664" max="6664" width="9.7109375" style="237" bestFit="1" customWidth="1"/>
    <col min="6665" max="6665" width="12.140625" style="237" bestFit="1" customWidth="1"/>
    <col min="6666" max="6666" width="10.5703125" style="237" customWidth="1"/>
    <col min="6667" max="6667" width="10.7109375" style="237" bestFit="1" customWidth="1"/>
    <col min="6668" max="6912" width="9.140625" style="237"/>
    <col min="6913" max="6913" width="34.140625" style="237" bestFit="1" customWidth="1"/>
    <col min="6914" max="6914" width="16.5703125" style="237" customWidth="1"/>
    <col min="6915" max="6915" width="14.28515625" style="237" bestFit="1" customWidth="1"/>
    <col min="6916" max="6916" width="10.7109375" style="237" bestFit="1" customWidth="1"/>
    <col min="6917" max="6917" width="14.28515625" style="237" bestFit="1" customWidth="1"/>
    <col min="6918" max="6918" width="31.42578125" style="237" bestFit="1" customWidth="1"/>
    <col min="6919" max="6919" width="16.42578125" style="237" bestFit="1" customWidth="1"/>
    <col min="6920" max="6920" width="9.7109375" style="237" bestFit="1" customWidth="1"/>
    <col min="6921" max="6921" width="12.140625" style="237" bestFit="1" customWidth="1"/>
    <col min="6922" max="6922" width="10.5703125" style="237" customWidth="1"/>
    <col min="6923" max="6923" width="10.7109375" style="237" bestFit="1" customWidth="1"/>
    <col min="6924" max="7168" width="9.140625" style="237"/>
    <col min="7169" max="7169" width="34.140625" style="237" bestFit="1" customWidth="1"/>
    <col min="7170" max="7170" width="16.5703125" style="237" customWidth="1"/>
    <col min="7171" max="7171" width="14.28515625" style="237" bestFit="1" customWidth="1"/>
    <col min="7172" max="7172" width="10.7109375" style="237" bestFit="1" customWidth="1"/>
    <col min="7173" max="7173" width="14.28515625" style="237" bestFit="1" customWidth="1"/>
    <col min="7174" max="7174" width="31.42578125" style="237" bestFit="1" customWidth="1"/>
    <col min="7175" max="7175" width="16.42578125" style="237" bestFit="1" customWidth="1"/>
    <col min="7176" max="7176" width="9.7109375" style="237" bestFit="1" customWidth="1"/>
    <col min="7177" max="7177" width="12.140625" style="237" bestFit="1" customWidth="1"/>
    <col min="7178" max="7178" width="10.5703125" style="237" customWidth="1"/>
    <col min="7179" max="7179" width="10.7109375" style="237" bestFit="1" customWidth="1"/>
    <col min="7180" max="7424" width="9.140625" style="237"/>
    <col min="7425" max="7425" width="34.140625" style="237" bestFit="1" customWidth="1"/>
    <col min="7426" max="7426" width="16.5703125" style="237" customWidth="1"/>
    <col min="7427" max="7427" width="14.28515625" style="237" bestFit="1" customWidth="1"/>
    <col min="7428" max="7428" width="10.7109375" style="237" bestFit="1" customWidth="1"/>
    <col min="7429" max="7429" width="14.28515625" style="237" bestFit="1" customWidth="1"/>
    <col min="7430" max="7430" width="31.42578125" style="237" bestFit="1" customWidth="1"/>
    <col min="7431" max="7431" width="16.42578125" style="237" bestFit="1" customWidth="1"/>
    <col min="7432" max="7432" width="9.7109375" style="237" bestFit="1" customWidth="1"/>
    <col min="7433" max="7433" width="12.140625" style="237" bestFit="1" customWidth="1"/>
    <col min="7434" max="7434" width="10.5703125" style="237" customWidth="1"/>
    <col min="7435" max="7435" width="10.7109375" style="237" bestFit="1" customWidth="1"/>
    <col min="7436" max="7680" width="9.140625" style="237"/>
    <col min="7681" max="7681" width="34.140625" style="237" bestFit="1" customWidth="1"/>
    <col min="7682" max="7682" width="16.5703125" style="237" customWidth="1"/>
    <col min="7683" max="7683" width="14.28515625" style="237" bestFit="1" customWidth="1"/>
    <col min="7684" max="7684" width="10.7109375" style="237" bestFit="1" customWidth="1"/>
    <col min="7685" max="7685" width="14.28515625" style="237" bestFit="1" customWidth="1"/>
    <col min="7686" max="7686" width="31.42578125" style="237" bestFit="1" customWidth="1"/>
    <col min="7687" max="7687" width="16.42578125" style="237" bestFit="1" customWidth="1"/>
    <col min="7688" max="7688" width="9.7109375" style="237" bestFit="1" customWidth="1"/>
    <col min="7689" max="7689" width="12.140625" style="237" bestFit="1" customWidth="1"/>
    <col min="7690" max="7690" width="10.5703125" style="237" customWidth="1"/>
    <col min="7691" max="7691" width="10.7109375" style="237" bestFit="1" customWidth="1"/>
    <col min="7692" max="7936" width="9.140625" style="237"/>
    <col min="7937" max="7937" width="34.140625" style="237" bestFit="1" customWidth="1"/>
    <col min="7938" max="7938" width="16.5703125" style="237" customWidth="1"/>
    <col min="7939" max="7939" width="14.28515625" style="237" bestFit="1" customWidth="1"/>
    <col min="7940" max="7940" width="10.7109375" style="237" bestFit="1" customWidth="1"/>
    <col min="7941" max="7941" width="14.28515625" style="237" bestFit="1" customWidth="1"/>
    <col min="7942" max="7942" width="31.42578125" style="237" bestFit="1" customWidth="1"/>
    <col min="7943" max="7943" width="16.42578125" style="237" bestFit="1" customWidth="1"/>
    <col min="7944" max="7944" width="9.7109375" style="237" bestFit="1" customWidth="1"/>
    <col min="7945" max="7945" width="12.140625" style="237" bestFit="1" customWidth="1"/>
    <col min="7946" max="7946" width="10.5703125" style="237" customWidth="1"/>
    <col min="7947" max="7947" width="10.7109375" style="237" bestFit="1" customWidth="1"/>
    <col min="7948" max="8192" width="9.140625" style="237"/>
    <col min="8193" max="8193" width="34.140625" style="237" bestFit="1" customWidth="1"/>
    <col min="8194" max="8194" width="16.5703125" style="237" customWidth="1"/>
    <col min="8195" max="8195" width="14.28515625" style="237" bestFit="1" customWidth="1"/>
    <col min="8196" max="8196" width="10.7109375" style="237" bestFit="1" customWidth="1"/>
    <col min="8197" max="8197" width="14.28515625" style="237" bestFit="1" customWidth="1"/>
    <col min="8198" max="8198" width="31.42578125" style="237" bestFit="1" customWidth="1"/>
    <col min="8199" max="8199" width="16.42578125" style="237" bestFit="1" customWidth="1"/>
    <col min="8200" max="8200" width="9.7109375" style="237" bestFit="1" customWidth="1"/>
    <col min="8201" max="8201" width="12.140625" style="237" bestFit="1" customWidth="1"/>
    <col min="8202" max="8202" width="10.5703125" style="237" customWidth="1"/>
    <col min="8203" max="8203" width="10.7109375" style="237" bestFit="1" customWidth="1"/>
    <col min="8204" max="8448" width="9.140625" style="237"/>
    <col min="8449" max="8449" width="34.140625" style="237" bestFit="1" customWidth="1"/>
    <col min="8450" max="8450" width="16.5703125" style="237" customWidth="1"/>
    <col min="8451" max="8451" width="14.28515625" style="237" bestFit="1" customWidth="1"/>
    <col min="8452" max="8452" width="10.7109375" style="237" bestFit="1" customWidth="1"/>
    <col min="8453" max="8453" width="14.28515625" style="237" bestFit="1" customWidth="1"/>
    <col min="8454" max="8454" width="31.42578125" style="237" bestFit="1" customWidth="1"/>
    <col min="8455" max="8455" width="16.42578125" style="237" bestFit="1" customWidth="1"/>
    <col min="8456" max="8456" width="9.7109375" style="237" bestFit="1" customWidth="1"/>
    <col min="8457" max="8457" width="12.140625" style="237" bestFit="1" customWidth="1"/>
    <col min="8458" max="8458" width="10.5703125" style="237" customWidth="1"/>
    <col min="8459" max="8459" width="10.7109375" style="237" bestFit="1" customWidth="1"/>
    <col min="8460" max="8704" width="9.140625" style="237"/>
    <col min="8705" max="8705" width="34.140625" style="237" bestFit="1" customWidth="1"/>
    <col min="8706" max="8706" width="16.5703125" style="237" customWidth="1"/>
    <col min="8707" max="8707" width="14.28515625" style="237" bestFit="1" customWidth="1"/>
    <col min="8708" max="8708" width="10.7109375" style="237" bestFit="1" customWidth="1"/>
    <col min="8709" max="8709" width="14.28515625" style="237" bestFit="1" customWidth="1"/>
    <col min="8710" max="8710" width="31.42578125" style="237" bestFit="1" customWidth="1"/>
    <col min="8711" max="8711" width="16.42578125" style="237" bestFit="1" customWidth="1"/>
    <col min="8712" max="8712" width="9.7109375" style="237" bestFit="1" customWidth="1"/>
    <col min="8713" max="8713" width="12.140625" style="237" bestFit="1" customWidth="1"/>
    <col min="8714" max="8714" width="10.5703125" style="237" customWidth="1"/>
    <col min="8715" max="8715" width="10.7109375" style="237" bestFit="1" customWidth="1"/>
    <col min="8716" max="8960" width="9.140625" style="237"/>
    <col min="8961" max="8961" width="34.140625" style="237" bestFit="1" customWidth="1"/>
    <col min="8962" max="8962" width="16.5703125" style="237" customWidth="1"/>
    <col min="8963" max="8963" width="14.28515625" style="237" bestFit="1" customWidth="1"/>
    <col min="8964" max="8964" width="10.7109375" style="237" bestFit="1" customWidth="1"/>
    <col min="8965" max="8965" width="14.28515625" style="237" bestFit="1" customWidth="1"/>
    <col min="8966" max="8966" width="31.42578125" style="237" bestFit="1" customWidth="1"/>
    <col min="8967" max="8967" width="16.42578125" style="237" bestFit="1" customWidth="1"/>
    <col min="8968" max="8968" width="9.7109375" style="237" bestFit="1" customWidth="1"/>
    <col min="8969" max="8969" width="12.140625" style="237" bestFit="1" customWidth="1"/>
    <col min="8970" max="8970" width="10.5703125" style="237" customWidth="1"/>
    <col min="8971" max="8971" width="10.7109375" style="237" bestFit="1" customWidth="1"/>
    <col min="8972" max="9216" width="9.140625" style="237"/>
    <col min="9217" max="9217" width="34.140625" style="237" bestFit="1" customWidth="1"/>
    <col min="9218" max="9218" width="16.5703125" style="237" customWidth="1"/>
    <col min="9219" max="9219" width="14.28515625" style="237" bestFit="1" customWidth="1"/>
    <col min="9220" max="9220" width="10.7109375" style="237" bestFit="1" customWidth="1"/>
    <col min="9221" max="9221" width="14.28515625" style="237" bestFit="1" customWidth="1"/>
    <col min="9222" max="9222" width="31.42578125" style="237" bestFit="1" customWidth="1"/>
    <col min="9223" max="9223" width="16.42578125" style="237" bestFit="1" customWidth="1"/>
    <col min="9224" max="9224" width="9.7109375" style="237" bestFit="1" customWidth="1"/>
    <col min="9225" max="9225" width="12.140625" style="237" bestFit="1" customWidth="1"/>
    <col min="9226" max="9226" width="10.5703125" style="237" customWidth="1"/>
    <col min="9227" max="9227" width="10.7109375" style="237" bestFit="1" customWidth="1"/>
    <col min="9228" max="9472" width="9.140625" style="237"/>
    <col min="9473" max="9473" width="34.140625" style="237" bestFit="1" customWidth="1"/>
    <col min="9474" max="9474" width="16.5703125" style="237" customWidth="1"/>
    <col min="9475" max="9475" width="14.28515625" style="237" bestFit="1" customWidth="1"/>
    <col min="9476" max="9476" width="10.7109375" style="237" bestFit="1" customWidth="1"/>
    <col min="9477" max="9477" width="14.28515625" style="237" bestFit="1" customWidth="1"/>
    <col min="9478" max="9478" width="31.42578125" style="237" bestFit="1" customWidth="1"/>
    <col min="9479" max="9479" width="16.42578125" style="237" bestFit="1" customWidth="1"/>
    <col min="9480" max="9480" width="9.7109375" style="237" bestFit="1" customWidth="1"/>
    <col min="9481" max="9481" width="12.140625" style="237" bestFit="1" customWidth="1"/>
    <col min="9482" max="9482" width="10.5703125" style="237" customWidth="1"/>
    <col min="9483" max="9483" width="10.7109375" style="237" bestFit="1" customWidth="1"/>
    <col min="9484" max="9728" width="9.140625" style="237"/>
    <col min="9729" max="9729" width="34.140625" style="237" bestFit="1" customWidth="1"/>
    <col min="9730" max="9730" width="16.5703125" style="237" customWidth="1"/>
    <col min="9731" max="9731" width="14.28515625" style="237" bestFit="1" customWidth="1"/>
    <col min="9732" max="9732" width="10.7109375" style="237" bestFit="1" customWidth="1"/>
    <col min="9733" max="9733" width="14.28515625" style="237" bestFit="1" customWidth="1"/>
    <col min="9734" max="9734" width="31.42578125" style="237" bestFit="1" customWidth="1"/>
    <col min="9735" max="9735" width="16.42578125" style="237" bestFit="1" customWidth="1"/>
    <col min="9736" max="9736" width="9.7109375" style="237" bestFit="1" customWidth="1"/>
    <col min="9737" max="9737" width="12.140625" style="237" bestFit="1" customWidth="1"/>
    <col min="9738" max="9738" width="10.5703125" style="237" customWidth="1"/>
    <col min="9739" max="9739" width="10.7109375" style="237" bestFit="1" customWidth="1"/>
    <col min="9740" max="9984" width="9.140625" style="237"/>
    <col min="9985" max="9985" width="34.140625" style="237" bestFit="1" customWidth="1"/>
    <col min="9986" max="9986" width="16.5703125" style="237" customWidth="1"/>
    <col min="9987" max="9987" width="14.28515625" style="237" bestFit="1" customWidth="1"/>
    <col min="9988" max="9988" width="10.7109375" style="237" bestFit="1" customWidth="1"/>
    <col min="9989" max="9989" width="14.28515625" style="237" bestFit="1" customWidth="1"/>
    <col min="9990" max="9990" width="31.42578125" style="237" bestFit="1" customWidth="1"/>
    <col min="9991" max="9991" width="16.42578125" style="237" bestFit="1" customWidth="1"/>
    <col min="9992" max="9992" width="9.7109375" style="237" bestFit="1" customWidth="1"/>
    <col min="9993" max="9993" width="12.140625" style="237" bestFit="1" customWidth="1"/>
    <col min="9994" max="9994" width="10.5703125" style="237" customWidth="1"/>
    <col min="9995" max="9995" width="10.7109375" style="237" bestFit="1" customWidth="1"/>
    <col min="9996" max="10240" width="9.140625" style="237"/>
    <col min="10241" max="10241" width="34.140625" style="237" bestFit="1" customWidth="1"/>
    <col min="10242" max="10242" width="16.5703125" style="237" customWidth="1"/>
    <col min="10243" max="10243" width="14.28515625" style="237" bestFit="1" customWidth="1"/>
    <col min="10244" max="10244" width="10.7109375" style="237" bestFit="1" customWidth="1"/>
    <col min="10245" max="10245" width="14.28515625" style="237" bestFit="1" customWidth="1"/>
    <col min="10246" max="10246" width="31.42578125" style="237" bestFit="1" customWidth="1"/>
    <col min="10247" max="10247" width="16.42578125" style="237" bestFit="1" customWidth="1"/>
    <col min="10248" max="10248" width="9.7109375" style="237" bestFit="1" customWidth="1"/>
    <col min="10249" max="10249" width="12.140625" style="237" bestFit="1" customWidth="1"/>
    <col min="10250" max="10250" width="10.5703125" style="237" customWidth="1"/>
    <col min="10251" max="10251" width="10.7109375" style="237" bestFit="1" customWidth="1"/>
    <col min="10252" max="10496" width="9.140625" style="237"/>
    <col min="10497" max="10497" width="34.140625" style="237" bestFit="1" customWidth="1"/>
    <col min="10498" max="10498" width="16.5703125" style="237" customWidth="1"/>
    <col min="10499" max="10499" width="14.28515625" style="237" bestFit="1" customWidth="1"/>
    <col min="10500" max="10500" width="10.7109375" style="237" bestFit="1" customWidth="1"/>
    <col min="10501" max="10501" width="14.28515625" style="237" bestFit="1" customWidth="1"/>
    <col min="10502" max="10502" width="31.42578125" style="237" bestFit="1" customWidth="1"/>
    <col min="10503" max="10503" width="16.42578125" style="237" bestFit="1" customWidth="1"/>
    <col min="10504" max="10504" width="9.7109375" style="237" bestFit="1" customWidth="1"/>
    <col min="10505" max="10505" width="12.140625" style="237" bestFit="1" customWidth="1"/>
    <col min="10506" max="10506" width="10.5703125" style="237" customWidth="1"/>
    <col min="10507" max="10507" width="10.7109375" style="237" bestFit="1" customWidth="1"/>
    <col min="10508" max="10752" width="9.140625" style="237"/>
    <col min="10753" max="10753" width="34.140625" style="237" bestFit="1" customWidth="1"/>
    <col min="10754" max="10754" width="16.5703125" style="237" customWidth="1"/>
    <col min="10755" max="10755" width="14.28515625" style="237" bestFit="1" customWidth="1"/>
    <col min="10756" max="10756" width="10.7109375" style="237" bestFit="1" customWidth="1"/>
    <col min="10757" max="10757" width="14.28515625" style="237" bestFit="1" customWidth="1"/>
    <col min="10758" max="10758" width="31.42578125" style="237" bestFit="1" customWidth="1"/>
    <col min="10759" max="10759" width="16.42578125" style="237" bestFit="1" customWidth="1"/>
    <col min="10760" max="10760" width="9.7109375" style="237" bestFit="1" customWidth="1"/>
    <col min="10761" max="10761" width="12.140625" style="237" bestFit="1" customWidth="1"/>
    <col min="10762" max="10762" width="10.5703125" style="237" customWidth="1"/>
    <col min="10763" max="10763" width="10.7109375" style="237" bestFit="1" customWidth="1"/>
    <col min="10764" max="11008" width="9.140625" style="237"/>
    <col min="11009" max="11009" width="34.140625" style="237" bestFit="1" customWidth="1"/>
    <col min="11010" max="11010" width="16.5703125" style="237" customWidth="1"/>
    <col min="11011" max="11011" width="14.28515625" style="237" bestFit="1" customWidth="1"/>
    <col min="11012" max="11012" width="10.7109375" style="237" bestFit="1" customWidth="1"/>
    <col min="11013" max="11013" width="14.28515625" style="237" bestFit="1" customWidth="1"/>
    <col min="11014" max="11014" width="31.42578125" style="237" bestFit="1" customWidth="1"/>
    <col min="11015" max="11015" width="16.42578125" style="237" bestFit="1" customWidth="1"/>
    <col min="11016" max="11016" width="9.7109375" style="237" bestFit="1" customWidth="1"/>
    <col min="11017" max="11017" width="12.140625" style="237" bestFit="1" customWidth="1"/>
    <col min="11018" max="11018" width="10.5703125" style="237" customWidth="1"/>
    <col min="11019" max="11019" width="10.7109375" style="237" bestFit="1" customWidth="1"/>
    <col min="11020" max="11264" width="9.140625" style="237"/>
    <col min="11265" max="11265" width="34.140625" style="237" bestFit="1" customWidth="1"/>
    <col min="11266" max="11266" width="16.5703125" style="237" customWidth="1"/>
    <col min="11267" max="11267" width="14.28515625" style="237" bestFit="1" customWidth="1"/>
    <col min="11268" max="11268" width="10.7109375" style="237" bestFit="1" customWidth="1"/>
    <col min="11269" max="11269" width="14.28515625" style="237" bestFit="1" customWidth="1"/>
    <col min="11270" max="11270" width="31.42578125" style="237" bestFit="1" customWidth="1"/>
    <col min="11271" max="11271" width="16.42578125" style="237" bestFit="1" customWidth="1"/>
    <col min="11272" max="11272" width="9.7109375" style="237" bestFit="1" customWidth="1"/>
    <col min="11273" max="11273" width="12.140625" style="237" bestFit="1" customWidth="1"/>
    <col min="11274" max="11274" width="10.5703125" style="237" customWidth="1"/>
    <col min="11275" max="11275" width="10.7109375" style="237" bestFit="1" customWidth="1"/>
    <col min="11276" max="11520" width="9.140625" style="237"/>
    <col min="11521" max="11521" width="34.140625" style="237" bestFit="1" customWidth="1"/>
    <col min="11522" max="11522" width="16.5703125" style="237" customWidth="1"/>
    <col min="11523" max="11523" width="14.28515625" style="237" bestFit="1" customWidth="1"/>
    <col min="11524" max="11524" width="10.7109375" style="237" bestFit="1" customWidth="1"/>
    <col min="11525" max="11525" width="14.28515625" style="237" bestFit="1" customWidth="1"/>
    <col min="11526" max="11526" width="31.42578125" style="237" bestFit="1" customWidth="1"/>
    <col min="11527" max="11527" width="16.42578125" style="237" bestFit="1" customWidth="1"/>
    <col min="11528" max="11528" width="9.7109375" style="237" bestFit="1" customWidth="1"/>
    <col min="11529" max="11529" width="12.140625" style="237" bestFit="1" customWidth="1"/>
    <col min="11530" max="11530" width="10.5703125" style="237" customWidth="1"/>
    <col min="11531" max="11531" width="10.7109375" style="237" bestFit="1" customWidth="1"/>
    <col min="11532" max="11776" width="9.140625" style="237"/>
    <col min="11777" max="11777" width="34.140625" style="237" bestFit="1" customWidth="1"/>
    <col min="11778" max="11778" width="16.5703125" style="237" customWidth="1"/>
    <col min="11779" max="11779" width="14.28515625" style="237" bestFit="1" customWidth="1"/>
    <col min="11780" max="11780" width="10.7109375" style="237" bestFit="1" customWidth="1"/>
    <col min="11781" max="11781" width="14.28515625" style="237" bestFit="1" customWidth="1"/>
    <col min="11782" max="11782" width="31.42578125" style="237" bestFit="1" customWidth="1"/>
    <col min="11783" max="11783" width="16.42578125" style="237" bestFit="1" customWidth="1"/>
    <col min="11784" max="11784" width="9.7109375" style="237" bestFit="1" customWidth="1"/>
    <col min="11785" max="11785" width="12.140625" style="237" bestFit="1" customWidth="1"/>
    <col min="11786" max="11786" width="10.5703125" style="237" customWidth="1"/>
    <col min="11787" max="11787" width="10.7109375" style="237" bestFit="1" customWidth="1"/>
    <col min="11788" max="12032" width="9.140625" style="237"/>
    <col min="12033" max="12033" width="34.140625" style="237" bestFit="1" customWidth="1"/>
    <col min="12034" max="12034" width="16.5703125" style="237" customWidth="1"/>
    <col min="12035" max="12035" width="14.28515625" style="237" bestFit="1" customWidth="1"/>
    <col min="12036" max="12036" width="10.7109375" style="237" bestFit="1" customWidth="1"/>
    <col min="12037" max="12037" width="14.28515625" style="237" bestFit="1" customWidth="1"/>
    <col min="12038" max="12038" width="31.42578125" style="237" bestFit="1" customWidth="1"/>
    <col min="12039" max="12039" width="16.42578125" style="237" bestFit="1" customWidth="1"/>
    <col min="12040" max="12040" width="9.7109375" style="237" bestFit="1" customWidth="1"/>
    <col min="12041" max="12041" width="12.140625" style="237" bestFit="1" customWidth="1"/>
    <col min="12042" max="12042" width="10.5703125" style="237" customWidth="1"/>
    <col min="12043" max="12043" width="10.7109375" style="237" bestFit="1" customWidth="1"/>
    <col min="12044" max="12288" width="9.140625" style="237"/>
    <col min="12289" max="12289" width="34.140625" style="237" bestFit="1" customWidth="1"/>
    <col min="12290" max="12290" width="16.5703125" style="237" customWidth="1"/>
    <col min="12291" max="12291" width="14.28515625" style="237" bestFit="1" customWidth="1"/>
    <col min="12292" max="12292" width="10.7109375" style="237" bestFit="1" customWidth="1"/>
    <col min="12293" max="12293" width="14.28515625" style="237" bestFit="1" customWidth="1"/>
    <col min="12294" max="12294" width="31.42578125" style="237" bestFit="1" customWidth="1"/>
    <col min="12295" max="12295" width="16.42578125" style="237" bestFit="1" customWidth="1"/>
    <col min="12296" max="12296" width="9.7109375" style="237" bestFit="1" customWidth="1"/>
    <col min="12297" max="12297" width="12.140625" style="237" bestFit="1" customWidth="1"/>
    <col min="12298" max="12298" width="10.5703125" style="237" customWidth="1"/>
    <col min="12299" max="12299" width="10.7109375" style="237" bestFit="1" customWidth="1"/>
    <col min="12300" max="12544" width="9.140625" style="237"/>
    <col min="12545" max="12545" width="34.140625" style="237" bestFit="1" customWidth="1"/>
    <col min="12546" max="12546" width="16.5703125" style="237" customWidth="1"/>
    <col min="12547" max="12547" width="14.28515625" style="237" bestFit="1" customWidth="1"/>
    <col min="12548" max="12548" width="10.7109375" style="237" bestFit="1" customWidth="1"/>
    <col min="12549" max="12549" width="14.28515625" style="237" bestFit="1" customWidth="1"/>
    <col min="12550" max="12550" width="31.42578125" style="237" bestFit="1" customWidth="1"/>
    <col min="12551" max="12551" width="16.42578125" style="237" bestFit="1" customWidth="1"/>
    <col min="12552" max="12552" width="9.7109375" style="237" bestFit="1" customWidth="1"/>
    <col min="12553" max="12553" width="12.140625" style="237" bestFit="1" customWidth="1"/>
    <col min="12554" max="12554" width="10.5703125" style="237" customWidth="1"/>
    <col min="12555" max="12555" width="10.7109375" style="237" bestFit="1" customWidth="1"/>
    <col min="12556" max="12800" width="9.140625" style="237"/>
    <col min="12801" max="12801" width="34.140625" style="237" bestFit="1" customWidth="1"/>
    <col min="12802" max="12802" width="16.5703125" style="237" customWidth="1"/>
    <col min="12803" max="12803" width="14.28515625" style="237" bestFit="1" customWidth="1"/>
    <col min="12804" max="12804" width="10.7109375" style="237" bestFit="1" customWidth="1"/>
    <col min="12805" max="12805" width="14.28515625" style="237" bestFit="1" customWidth="1"/>
    <col min="12806" max="12806" width="31.42578125" style="237" bestFit="1" customWidth="1"/>
    <col min="12807" max="12807" width="16.42578125" style="237" bestFit="1" customWidth="1"/>
    <col min="12808" max="12808" width="9.7109375" style="237" bestFit="1" customWidth="1"/>
    <col min="12809" max="12809" width="12.140625" style="237" bestFit="1" customWidth="1"/>
    <col min="12810" max="12810" width="10.5703125" style="237" customWidth="1"/>
    <col min="12811" max="12811" width="10.7109375" style="237" bestFit="1" customWidth="1"/>
    <col min="12812" max="13056" width="9.140625" style="237"/>
    <col min="13057" max="13057" width="34.140625" style="237" bestFit="1" customWidth="1"/>
    <col min="13058" max="13058" width="16.5703125" style="237" customWidth="1"/>
    <col min="13059" max="13059" width="14.28515625" style="237" bestFit="1" customWidth="1"/>
    <col min="13060" max="13060" width="10.7109375" style="237" bestFit="1" customWidth="1"/>
    <col min="13061" max="13061" width="14.28515625" style="237" bestFit="1" customWidth="1"/>
    <col min="13062" max="13062" width="31.42578125" style="237" bestFit="1" customWidth="1"/>
    <col min="13063" max="13063" width="16.42578125" style="237" bestFit="1" customWidth="1"/>
    <col min="13064" max="13064" width="9.7109375" style="237" bestFit="1" customWidth="1"/>
    <col min="13065" max="13065" width="12.140625" style="237" bestFit="1" customWidth="1"/>
    <col min="13066" max="13066" width="10.5703125" style="237" customWidth="1"/>
    <col min="13067" max="13067" width="10.7109375" style="237" bestFit="1" customWidth="1"/>
    <col min="13068" max="13312" width="9.140625" style="237"/>
    <col min="13313" max="13313" width="34.140625" style="237" bestFit="1" customWidth="1"/>
    <col min="13314" max="13314" width="16.5703125" style="237" customWidth="1"/>
    <col min="13315" max="13315" width="14.28515625" style="237" bestFit="1" customWidth="1"/>
    <col min="13316" max="13316" width="10.7109375" style="237" bestFit="1" customWidth="1"/>
    <col min="13317" max="13317" width="14.28515625" style="237" bestFit="1" customWidth="1"/>
    <col min="13318" max="13318" width="31.42578125" style="237" bestFit="1" customWidth="1"/>
    <col min="13319" max="13319" width="16.42578125" style="237" bestFit="1" customWidth="1"/>
    <col min="13320" max="13320" width="9.7109375" style="237" bestFit="1" customWidth="1"/>
    <col min="13321" max="13321" width="12.140625" style="237" bestFit="1" customWidth="1"/>
    <col min="13322" max="13322" width="10.5703125" style="237" customWidth="1"/>
    <col min="13323" max="13323" width="10.7109375" style="237" bestFit="1" customWidth="1"/>
    <col min="13324" max="13568" width="9.140625" style="237"/>
    <col min="13569" max="13569" width="34.140625" style="237" bestFit="1" customWidth="1"/>
    <col min="13570" max="13570" width="16.5703125" style="237" customWidth="1"/>
    <col min="13571" max="13571" width="14.28515625" style="237" bestFit="1" customWidth="1"/>
    <col min="13572" max="13572" width="10.7109375" style="237" bestFit="1" customWidth="1"/>
    <col min="13573" max="13573" width="14.28515625" style="237" bestFit="1" customWidth="1"/>
    <col min="13574" max="13574" width="31.42578125" style="237" bestFit="1" customWidth="1"/>
    <col min="13575" max="13575" width="16.42578125" style="237" bestFit="1" customWidth="1"/>
    <col min="13576" max="13576" width="9.7109375" style="237" bestFit="1" customWidth="1"/>
    <col min="13577" max="13577" width="12.140625" style="237" bestFit="1" customWidth="1"/>
    <col min="13578" max="13578" width="10.5703125" style="237" customWidth="1"/>
    <col min="13579" max="13579" width="10.7109375" style="237" bestFit="1" customWidth="1"/>
    <col min="13580" max="13824" width="9.140625" style="237"/>
    <col min="13825" max="13825" width="34.140625" style="237" bestFit="1" customWidth="1"/>
    <col min="13826" max="13826" width="16.5703125" style="237" customWidth="1"/>
    <col min="13827" max="13827" width="14.28515625" style="237" bestFit="1" customWidth="1"/>
    <col min="13828" max="13828" width="10.7109375" style="237" bestFit="1" customWidth="1"/>
    <col min="13829" max="13829" width="14.28515625" style="237" bestFit="1" customWidth="1"/>
    <col min="13830" max="13830" width="31.42578125" style="237" bestFit="1" customWidth="1"/>
    <col min="13831" max="13831" width="16.42578125" style="237" bestFit="1" customWidth="1"/>
    <col min="13832" max="13832" width="9.7109375" style="237" bestFit="1" customWidth="1"/>
    <col min="13833" max="13833" width="12.140625" style="237" bestFit="1" customWidth="1"/>
    <col min="13834" max="13834" width="10.5703125" style="237" customWidth="1"/>
    <col min="13835" max="13835" width="10.7109375" style="237" bestFit="1" customWidth="1"/>
    <col min="13836" max="14080" width="9.140625" style="237"/>
    <col min="14081" max="14081" width="34.140625" style="237" bestFit="1" customWidth="1"/>
    <col min="14082" max="14082" width="16.5703125" style="237" customWidth="1"/>
    <col min="14083" max="14083" width="14.28515625" style="237" bestFit="1" customWidth="1"/>
    <col min="14084" max="14084" width="10.7109375" style="237" bestFit="1" customWidth="1"/>
    <col min="14085" max="14085" width="14.28515625" style="237" bestFit="1" customWidth="1"/>
    <col min="14086" max="14086" width="31.42578125" style="237" bestFit="1" customWidth="1"/>
    <col min="14087" max="14087" width="16.42578125" style="237" bestFit="1" customWidth="1"/>
    <col min="14088" max="14088" width="9.7109375" style="237" bestFit="1" customWidth="1"/>
    <col min="14089" max="14089" width="12.140625" style="237" bestFit="1" customWidth="1"/>
    <col min="14090" max="14090" width="10.5703125" style="237" customWidth="1"/>
    <col min="14091" max="14091" width="10.7109375" style="237" bestFit="1" customWidth="1"/>
    <col min="14092" max="14336" width="9.140625" style="237"/>
    <col min="14337" max="14337" width="34.140625" style="237" bestFit="1" customWidth="1"/>
    <col min="14338" max="14338" width="16.5703125" style="237" customWidth="1"/>
    <col min="14339" max="14339" width="14.28515625" style="237" bestFit="1" customWidth="1"/>
    <col min="14340" max="14340" width="10.7109375" style="237" bestFit="1" customWidth="1"/>
    <col min="14341" max="14341" width="14.28515625" style="237" bestFit="1" customWidth="1"/>
    <col min="14342" max="14342" width="31.42578125" style="237" bestFit="1" customWidth="1"/>
    <col min="14343" max="14343" width="16.42578125" style="237" bestFit="1" customWidth="1"/>
    <col min="14344" max="14344" width="9.7109375" style="237" bestFit="1" customWidth="1"/>
    <col min="14345" max="14345" width="12.140625" style="237" bestFit="1" customWidth="1"/>
    <col min="14346" max="14346" width="10.5703125" style="237" customWidth="1"/>
    <col min="14347" max="14347" width="10.7109375" style="237" bestFit="1" customWidth="1"/>
    <col min="14348" max="14592" width="9.140625" style="237"/>
    <col min="14593" max="14593" width="34.140625" style="237" bestFit="1" customWidth="1"/>
    <col min="14594" max="14594" width="16.5703125" style="237" customWidth="1"/>
    <col min="14595" max="14595" width="14.28515625" style="237" bestFit="1" customWidth="1"/>
    <col min="14596" max="14596" width="10.7109375" style="237" bestFit="1" customWidth="1"/>
    <col min="14597" max="14597" width="14.28515625" style="237" bestFit="1" customWidth="1"/>
    <col min="14598" max="14598" width="31.42578125" style="237" bestFit="1" customWidth="1"/>
    <col min="14599" max="14599" width="16.42578125" style="237" bestFit="1" customWidth="1"/>
    <col min="14600" max="14600" width="9.7109375" style="237" bestFit="1" customWidth="1"/>
    <col min="14601" max="14601" width="12.140625" style="237" bestFit="1" customWidth="1"/>
    <col min="14602" max="14602" width="10.5703125" style="237" customWidth="1"/>
    <col min="14603" max="14603" width="10.7109375" style="237" bestFit="1" customWidth="1"/>
    <col min="14604" max="14848" width="9.140625" style="237"/>
    <col min="14849" max="14849" width="34.140625" style="237" bestFit="1" customWidth="1"/>
    <col min="14850" max="14850" width="16.5703125" style="237" customWidth="1"/>
    <col min="14851" max="14851" width="14.28515625" style="237" bestFit="1" customWidth="1"/>
    <col min="14852" max="14852" width="10.7109375" style="237" bestFit="1" customWidth="1"/>
    <col min="14853" max="14853" width="14.28515625" style="237" bestFit="1" customWidth="1"/>
    <col min="14854" max="14854" width="31.42578125" style="237" bestFit="1" customWidth="1"/>
    <col min="14855" max="14855" width="16.42578125" style="237" bestFit="1" customWidth="1"/>
    <col min="14856" max="14856" width="9.7109375" style="237" bestFit="1" customWidth="1"/>
    <col min="14857" max="14857" width="12.140625" style="237" bestFit="1" customWidth="1"/>
    <col min="14858" max="14858" width="10.5703125" style="237" customWidth="1"/>
    <col min="14859" max="14859" width="10.7109375" style="237" bestFit="1" customWidth="1"/>
    <col min="14860" max="15104" width="9.140625" style="237"/>
    <col min="15105" max="15105" width="34.140625" style="237" bestFit="1" customWidth="1"/>
    <col min="15106" max="15106" width="16.5703125" style="237" customWidth="1"/>
    <col min="15107" max="15107" width="14.28515625" style="237" bestFit="1" customWidth="1"/>
    <col min="15108" max="15108" width="10.7109375" style="237" bestFit="1" customWidth="1"/>
    <col min="15109" max="15109" width="14.28515625" style="237" bestFit="1" customWidth="1"/>
    <col min="15110" max="15110" width="31.42578125" style="237" bestFit="1" customWidth="1"/>
    <col min="15111" max="15111" width="16.42578125" style="237" bestFit="1" customWidth="1"/>
    <col min="15112" max="15112" width="9.7109375" style="237" bestFit="1" customWidth="1"/>
    <col min="15113" max="15113" width="12.140625" style="237" bestFit="1" customWidth="1"/>
    <col min="15114" max="15114" width="10.5703125" style="237" customWidth="1"/>
    <col min="15115" max="15115" width="10.7109375" style="237" bestFit="1" customWidth="1"/>
    <col min="15116" max="15360" width="9.140625" style="237"/>
    <col min="15361" max="15361" width="34.140625" style="237" bestFit="1" customWidth="1"/>
    <col min="15362" max="15362" width="16.5703125" style="237" customWidth="1"/>
    <col min="15363" max="15363" width="14.28515625" style="237" bestFit="1" customWidth="1"/>
    <col min="15364" max="15364" width="10.7109375" style="237" bestFit="1" customWidth="1"/>
    <col min="15365" max="15365" width="14.28515625" style="237" bestFit="1" customWidth="1"/>
    <col min="15366" max="15366" width="31.42578125" style="237" bestFit="1" customWidth="1"/>
    <col min="15367" max="15367" width="16.42578125" style="237" bestFit="1" customWidth="1"/>
    <col min="15368" max="15368" width="9.7109375" style="237" bestFit="1" customWidth="1"/>
    <col min="15369" max="15369" width="12.140625" style="237" bestFit="1" customWidth="1"/>
    <col min="15370" max="15370" width="10.5703125" style="237" customWidth="1"/>
    <col min="15371" max="15371" width="10.7109375" style="237" bestFit="1" customWidth="1"/>
    <col min="15372" max="15616" width="9.140625" style="237"/>
    <col min="15617" max="15617" width="34.140625" style="237" bestFit="1" customWidth="1"/>
    <col min="15618" max="15618" width="16.5703125" style="237" customWidth="1"/>
    <col min="15619" max="15619" width="14.28515625" style="237" bestFit="1" customWidth="1"/>
    <col min="15620" max="15620" width="10.7109375" style="237" bestFit="1" customWidth="1"/>
    <col min="15621" max="15621" width="14.28515625" style="237" bestFit="1" customWidth="1"/>
    <col min="15622" max="15622" width="31.42578125" style="237" bestFit="1" customWidth="1"/>
    <col min="15623" max="15623" width="16.42578125" style="237" bestFit="1" customWidth="1"/>
    <col min="15624" max="15624" width="9.7109375" style="237" bestFit="1" customWidth="1"/>
    <col min="15625" max="15625" width="12.140625" style="237" bestFit="1" customWidth="1"/>
    <col min="15626" max="15626" width="10.5703125" style="237" customWidth="1"/>
    <col min="15627" max="15627" width="10.7109375" style="237" bestFit="1" customWidth="1"/>
    <col min="15628" max="15872" width="9.140625" style="237"/>
    <col min="15873" max="15873" width="34.140625" style="237" bestFit="1" customWidth="1"/>
    <col min="15874" max="15874" width="16.5703125" style="237" customWidth="1"/>
    <col min="15875" max="15875" width="14.28515625" style="237" bestFit="1" customWidth="1"/>
    <col min="15876" max="15876" width="10.7109375" style="237" bestFit="1" customWidth="1"/>
    <col min="15877" max="15877" width="14.28515625" style="237" bestFit="1" customWidth="1"/>
    <col min="15878" max="15878" width="31.42578125" style="237" bestFit="1" customWidth="1"/>
    <col min="15879" max="15879" width="16.42578125" style="237" bestFit="1" customWidth="1"/>
    <col min="15880" max="15880" width="9.7109375" style="237" bestFit="1" customWidth="1"/>
    <col min="15881" max="15881" width="12.140625" style="237" bestFit="1" customWidth="1"/>
    <col min="15882" max="15882" width="10.5703125" style="237" customWidth="1"/>
    <col min="15883" max="15883" width="10.7109375" style="237" bestFit="1" customWidth="1"/>
    <col min="15884" max="16128" width="9.140625" style="237"/>
    <col min="16129" max="16129" width="34.140625" style="237" bestFit="1" customWidth="1"/>
    <col min="16130" max="16130" width="16.5703125" style="237" customWidth="1"/>
    <col min="16131" max="16131" width="14.28515625" style="237" bestFit="1" customWidth="1"/>
    <col min="16132" max="16132" width="10.7109375" style="237" bestFit="1" customWidth="1"/>
    <col min="16133" max="16133" width="14.28515625" style="237" bestFit="1" customWidth="1"/>
    <col min="16134" max="16134" width="31.42578125" style="237" bestFit="1" customWidth="1"/>
    <col min="16135" max="16135" width="16.42578125" style="237" bestFit="1" customWidth="1"/>
    <col min="16136" max="16136" width="9.7109375" style="237" bestFit="1" customWidth="1"/>
    <col min="16137" max="16137" width="12.140625" style="237" bestFit="1" customWidth="1"/>
    <col min="16138" max="16138" width="10.5703125" style="237" customWidth="1"/>
    <col min="16139" max="16139" width="10.7109375" style="237" bestFit="1" customWidth="1"/>
    <col min="16140" max="16384" width="9.140625" style="237"/>
  </cols>
  <sheetData>
    <row r="1" spans="1:12" x14ac:dyDescent="0.25">
      <c r="A1" s="719" t="s">
        <v>96</v>
      </c>
      <c r="B1" s="719"/>
      <c r="C1" s="719"/>
      <c r="D1" s="719"/>
      <c r="E1" s="719"/>
      <c r="F1" s="719"/>
      <c r="G1" s="719"/>
      <c r="H1" s="719"/>
      <c r="I1" s="719"/>
      <c r="J1" s="236"/>
      <c r="L1" s="233"/>
    </row>
    <row r="2" spans="1:12" x14ac:dyDescent="0.25">
      <c r="A2" s="719" t="s">
        <v>97</v>
      </c>
      <c r="B2" s="719"/>
      <c r="C2" s="719"/>
      <c r="D2" s="719"/>
      <c r="E2" s="719"/>
      <c r="F2" s="719"/>
      <c r="G2" s="719"/>
      <c r="H2" s="719"/>
      <c r="I2" s="719"/>
      <c r="J2" s="236"/>
      <c r="L2" s="233"/>
    </row>
    <row r="3" spans="1:12" x14ac:dyDescent="0.25">
      <c r="A3" s="719" t="s">
        <v>63</v>
      </c>
      <c r="B3" s="719"/>
      <c r="C3" s="719"/>
      <c r="D3" s="719"/>
      <c r="E3" s="719"/>
      <c r="F3" s="719"/>
      <c r="G3" s="719"/>
      <c r="H3" s="719"/>
      <c r="I3" s="719"/>
      <c r="J3" s="236"/>
      <c r="L3" s="233"/>
    </row>
    <row r="4" spans="1:12" x14ac:dyDescent="0.25">
      <c r="A4" s="238"/>
      <c r="B4" s="238"/>
      <c r="C4" s="238"/>
      <c r="D4" s="236"/>
      <c r="E4" s="236"/>
      <c r="F4" s="236"/>
      <c r="G4" s="236"/>
      <c r="H4" s="236"/>
      <c r="I4" s="236"/>
      <c r="J4" s="236"/>
      <c r="K4" s="233"/>
      <c r="L4" s="233"/>
    </row>
    <row r="5" spans="1:12" x14ac:dyDescent="0.25">
      <c r="A5" s="239" t="s">
        <v>98</v>
      </c>
      <c r="B5" s="239" t="s">
        <v>224</v>
      </c>
      <c r="C5" s="240" t="s">
        <v>225</v>
      </c>
      <c r="D5" s="240" t="s">
        <v>226</v>
      </c>
      <c r="E5" s="240" t="s">
        <v>227</v>
      </c>
      <c r="F5" s="239" t="s">
        <v>99</v>
      </c>
      <c r="G5" s="239" t="s">
        <v>224</v>
      </c>
      <c r="H5" s="240" t="s">
        <v>225</v>
      </c>
      <c r="I5" s="240" t="s">
        <v>226</v>
      </c>
      <c r="J5" s="240" t="s">
        <v>227</v>
      </c>
    </row>
    <row r="6" spans="1:12" x14ac:dyDescent="0.25">
      <c r="A6" s="239"/>
      <c r="B6" s="239"/>
      <c r="C6" s="241"/>
      <c r="D6" s="241"/>
      <c r="E6" s="241"/>
      <c r="F6" s="239"/>
      <c r="G6" s="239"/>
      <c r="H6" s="303"/>
      <c r="I6" s="303"/>
      <c r="J6" s="303"/>
    </row>
    <row r="7" spans="1:12" x14ac:dyDescent="0.25">
      <c r="A7" s="242" t="s">
        <v>228</v>
      </c>
      <c r="B7" s="242"/>
      <c r="C7" s="243"/>
      <c r="D7" s="243"/>
      <c r="E7" s="243"/>
      <c r="F7" s="242" t="s">
        <v>229</v>
      </c>
      <c r="G7" s="242"/>
      <c r="H7" s="304"/>
      <c r="I7" s="304"/>
      <c r="J7" s="304"/>
    </row>
    <row r="8" spans="1:12" x14ac:dyDescent="0.25">
      <c r="A8" s="244" t="s">
        <v>230</v>
      </c>
      <c r="B8" s="245" t="s">
        <v>231</v>
      </c>
      <c r="C8" s="246" t="e">
        <f>#REF!</f>
        <v>#REF!</v>
      </c>
      <c r="D8" s="246" t="e">
        <f>#REF!</f>
        <v>#REF!</v>
      </c>
      <c r="E8" s="246" t="e">
        <f>D8-C8</f>
        <v>#REF!</v>
      </c>
      <c r="F8" s="247" t="s">
        <v>126</v>
      </c>
      <c r="G8" s="248"/>
      <c r="H8" s="234"/>
      <c r="I8" s="203"/>
      <c r="J8" s="204">
        <f t="shared" ref="J8:J16" si="0">I8-H8</f>
        <v>0</v>
      </c>
    </row>
    <row r="9" spans="1:12" x14ac:dyDescent="0.25">
      <c r="A9" s="244"/>
      <c r="B9" s="245"/>
      <c r="C9" s="246"/>
      <c r="D9" s="246"/>
      <c r="E9" s="246"/>
      <c r="F9" s="247" t="s">
        <v>135</v>
      </c>
      <c r="G9" s="248" t="s">
        <v>352</v>
      </c>
      <c r="H9" s="234" t="e">
        <f>#REF!</f>
        <v>#REF!</v>
      </c>
      <c r="I9" s="203"/>
      <c r="J9" s="204" t="e">
        <f t="shared" si="0"/>
        <v>#REF!</v>
      </c>
    </row>
    <row r="10" spans="1:12" x14ac:dyDescent="0.25">
      <c r="A10" s="249" t="s">
        <v>131</v>
      </c>
      <c r="B10" s="248" t="s">
        <v>352</v>
      </c>
      <c r="C10" s="204" t="e">
        <f>#REF!</f>
        <v>#REF!</v>
      </c>
      <c r="D10" s="204" t="e">
        <f>#REF!</f>
        <v>#REF!</v>
      </c>
      <c r="E10" s="204" t="e">
        <f>D10-C10</f>
        <v>#REF!</v>
      </c>
      <c r="F10" s="250" t="s">
        <v>232</v>
      </c>
      <c r="G10" s="248" t="s">
        <v>352</v>
      </c>
      <c r="H10" s="204"/>
      <c r="I10" s="204" t="e">
        <f>#REF!</f>
        <v>#REF!</v>
      </c>
      <c r="J10" s="204" t="e">
        <f t="shared" si="0"/>
        <v>#REF!</v>
      </c>
    </row>
    <row r="11" spans="1:12" x14ac:dyDescent="0.25">
      <c r="A11" s="249" t="s">
        <v>348</v>
      </c>
      <c r="B11" s="248" t="s">
        <v>352</v>
      </c>
      <c r="C11" s="204"/>
      <c r="D11" s="204" t="e">
        <f>#REF!+#REF!</f>
        <v>#REF!</v>
      </c>
      <c r="E11" s="204" t="e">
        <f t="shared" ref="E11:E18" si="1">D11-C11</f>
        <v>#REF!</v>
      </c>
      <c r="F11" s="250"/>
      <c r="G11" s="248"/>
      <c r="H11" s="204"/>
      <c r="I11" s="204"/>
      <c r="J11" s="204"/>
    </row>
    <row r="12" spans="1:12" x14ac:dyDescent="0.25">
      <c r="A12" s="249" t="s">
        <v>130</v>
      </c>
      <c r="B12" s="248" t="s">
        <v>352</v>
      </c>
      <c r="C12" s="204" t="e">
        <f>#REF!</f>
        <v>#REF!</v>
      </c>
      <c r="D12" s="204" t="e">
        <f>#REF!</f>
        <v>#REF!</v>
      </c>
      <c r="E12" s="204" t="e">
        <f t="shared" si="1"/>
        <v>#REF!</v>
      </c>
      <c r="F12" s="249" t="s">
        <v>233</v>
      </c>
      <c r="G12" s="248" t="s">
        <v>352</v>
      </c>
      <c r="H12" s="204" t="e">
        <f>#REF!</f>
        <v>#REF!</v>
      </c>
      <c r="I12" s="204" t="e">
        <f>#REF!</f>
        <v>#REF!</v>
      </c>
      <c r="J12" s="204" t="e">
        <f t="shared" si="0"/>
        <v>#REF!</v>
      </c>
    </row>
    <row r="13" spans="1:12" x14ac:dyDescent="0.25">
      <c r="A13" s="249" t="s">
        <v>121</v>
      </c>
      <c r="B13" s="248"/>
      <c r="C13" s="204"/>
      <c r="D13" s="204"/>
      <c r="E13" s="204">
        <f t="shared" si="1"/>
        <v>0</v>
      </c>
      <c r="F13" s="249" t="s">
        <v>234</v>
      </c>
      <c r="G13" s="248" t="s">
        <v>352</v>
      </c>
      <c r="H13" s="204" t="e">
        <f>#REF!</f>
        <v>#REF!</v>
      </c>
      <c r="I13" s="204" t="e">
        <f>#REF!</f>
        <v>#REF!</v>
      </c>
      <c r="J13" s="204" t="e">
        <f t="shared" si="0"/>
        <v>#REF!</v>
      </c>
    </row>
    <row r="14" spans="1:12" x14ac:dyDescent="0.25">
      <c r="A14" s="249" t="s">
        <v>235</v>
      </c>
      <c r="B14" s="248" t="s">
        <v>352</v>
      </c>
      <c r="C14" s="204" t="e">
        <f>#REF!</f>
        <v>#REF!</v>
      </c>
      <c r="D14" s="204" t="e">
        <f>#REF!</f>
        <v>#REF!</v>
      </c>
      <c r="E14" s="204" t="e">
        <f t="shared" si="1"/>
        <v>#REF!</v>
      </c>
      <c r="F14" s="249" t="s">
        <v>136</v>
      </c>
      <c r="G14" s="263" t="s">
        <v>354</v>
      </c>
      <c r="H14" s="204" t="e">
        <f>#REF!</f>
        <v>#REF!</v>
      </c>
      <c r="I14" s="204" t="e">
        <f>#REF!</f>
        <v>#REF!</v>
      </c>
      <c r="J14" s="204" t="e">
        <f t="shared" si="0"/>
        <v>#REF!</v>
      </c>
    </row>
    <row r="15" spans="1:12" x14ac:dyDescent="0.25">
      <c r="A15" s="249" t="s">
        <v>349</v>
      </c>
      <c r="B15" s="248" t="s">
        <v>352</v>
      </c>
      <c r="C15" s="204"/>
      <c r="D15" s="204" t="e">
        <f>#REF!+#REF!</f>
        <v>#REF!</v>
      </c>
      <c r="E15" s="204" t="e">
        <f t="shared" si="1"/>
        <v>#REF!</v>
      </c>
      <c r="F15" s="249" t="s">
        <v>137</v>
      </c>
      <c r="G15" s="248" t="s">
        <v>352</v>
      </c>
      <c r="H15" s="204" t="e">
        <f>#REF!</f>
        <v>#REF!</v>
      </c>
      <c r="I15" s="204" t="e">
        <f>#REF!</f>
        <v>#REF!</v>
      </c>
      <c r="J15" s="204" t="e">
        <f t="shared" si="0"/>
        <v>#REF!</v>
      </c>
    </row>
    <row r="16" spans="1:12" x14ac:dyDescent="0.25">
      <c r="A16" s="249" t="s">
        <v>207</v>
      </c>
      <c r="B16" s="248" t="s">
        <v>352</v>
      </c>
      <c r="C16" s="204"/>
      <c r="D16" s="204" t="e">
        <f>#REF!</f>
        <v>#REF!</v>
      </c>
      <c r="E16" s="204" t="e">
        <f t="shared" si="1"/>
        <v>#REF!</v>
      </c>
      <c r="F16" s="249" t="s">
        <v>236</v>
      </c>
      <c r="G16" s="263" t="s">
        <v>354</v>
      </c>
      <c r="H16" s="204" t="e">
        <f>#REF!</f>
        <v>#REF!</v>
      </c>
      <c r="I16" s="204" t="e">
        <f>#REF!</f>
        <v>#REF!</v>
      </c>
      <c r="J16" s="204" t="e">
        <f t="shared" si="0"/>
        <v>#REF!</v>
      </c>
    </row>
    <row r="17" spans="1:10" x14ac:dyDescent="0.25">
      <c r="A17" s="249" t="s">
        <v>351</v>
      </c>
      <c r="B17" s="248" t="s">
        <v>352</v>
      </c>
      <c r="C17" s="204"/>
      <c r="D17" s="204" t="e">
        <f>#REF!</f>
        <v>#REF!</v>
      </c>
      <c r="E17" s="204" t="e">
        <f t="shared" si="1"/>
        <v>#REF!</v>
      </c>
      <c r="F17" s="249"/>
      <c r="G17" s="251"/>
      <c r="H17" s="204"/>
      <c r="I17" s="204"/>
      <c r="J17" s="204"/>
    </row>
    <row r="18" spans="1:10" x14ac:dyDescent="0.25">
      <c r="A18" s="250" t="s">
        <v>345</v>
      </c>
      <c r="B18" s="248" t="s">
        <v>352</v>
      </c>
      <c r="C18" s="218"/>
      <c r="D18" s="218" t="e">
        <f>#REF!</f>
        <v>#REF!</v>
      </c>
      <c r="E18" s="204" t="e">
        <f t="shared" si="1"/>
        <v>#REF!</v>
      </c>
      <c r="F18" s="249"/>
      <c r="G18" s="251"/>
      <c r="H18" s="204"/>
      <c r="I18" s="204"/>
      <c r="J18" s="204"/>
    </row>
    <row r="19" spans="1:10" x14ac:dyDescent="0.25">
      <c r="A19" s="252" t="s">
        <v>237</v>
      </c>
      <c r="B19" s="252"/>
      <c r="C19" s="202" t="e">
        <f>SUM(C8:C18)</f>
        <v>#REF!</v>
      </c>
      <c r="D19" s="202" t="e">
        <f>SUM(D8:D18)</f>
        <v>#REF!</v>
      </c>
      <c r="E19" s="202" t="e">
        <f>D19-C19</f>
        <v>#REF!</v>
      </c>
      <c r="F19" s="252" t="s">
        <v>237</v>
      </c>
      <c r="G19" s="252"/>
      <c r="H19" s="202" t="e">
        <f>SUM(H8:H16)</f>
        <v>#REF!</v>
      </c>
      <c r="I19" s="202" t="e">
        <f>SUM(I8:I16)</f>
        <v>#REF!</v>
      </c>
      <c r="J19" s="202" t="e">
        <f>H19-I19</f>
        <v>#REF!</v>
      </c>
    </row>
    <row r="20" spans="1:10" x14ac:dyDescent="0.25">
      <c r="A20" s="253"/>
      <c r="B20" s="253"/>
      <c r="C20" s="234"/>
      <c r="D20" s="234"/>
      <c r="E20" s="254"/>
      <c r="F20" s="253"/>
      <c r="G20" s="253"/>
      <c r="H20" s="234"/>
      <c r="I20" s="234"/>
      <c r="J20" s="218"/>
    </row>
    <row r="21" spans="1:10" x14ac:dyDescent="0.25">
      <c r="A21" s="242" t="s">
        <v>238</v>
      </c>
      <c r="B21" s="242"/>
      <c r="C21" s="204"/>
      <c r="D21" s="204"/>
      <c r="E21" s="254"/>
      <c r="F21" s="242" t="s">
        <v>239</v>
      </c>
      <c r="G21" s="242"/>
      <c r="H21" s="305"/>
      <c r="I21" s="305"/>
      <c r="J21" s="218"/>
    </row>
    <row r="22" spans="1:10" x14ac:dyDescent="0.25">
      <c r="A22" s="255" t="s">
        <v>240</v>
      </c>
      <c r="B22" s="249"/>
      <c r="C22" s="204"/>
      <c r="D22" s="204"/>
      <c r="E22" s="254"/>
      <c r="F22" s="249" t="s">
        <v>241</v>
      </c>
      <c r="G22" s="251"/>
      <c r="H22" s="256"/>
      <c r="I22" s="256"/>
      <c r="J22" s="256">
        <f>I22-H22</f>
        <v>0</v>
      </c>
    </row>
    <row r="23" spans="1:10" x14ac:dyDescent="0.25">
      <c r="A23" s="250" t="s">
        <v>242</v>
      </c>
      <c r="B23" s="248"/>
      <c r="C23" s="234"/>
      <c r="D23" s="234"/>
      <c r="E23" s="256">
        <f>D23-C23</f>
        <v>0</v>
      </c>
      <c r="F23" s="249" t="s">
        <v>243</v>
      </c>
      <c r="G23" s="251"/>
      <c r="H23" s="204"/>
      <c r="I23" s="204"/>
      <c r="J23" s="256">
        <f>I23-H23</f>
        <v>0</v>
      </c>
    </row>
    <row r="24" spans="1:10" x14ac:dyDescent="0.25">
      <c r="A24" s="253"/>
      <c r="B24" s="253"/>
      <c r="C24" s="218"/>
      <c r="D24" s="218"/>
      <c r="E24" s="204"/>
      <c r="F24" s="249" t="s">
        <v>244</v>
      </c>
      <c r="G24" s="251"/>
      <c r="H24" s="204"/>
      <c r="I24" s="204"/>
      <c r="J24" s="256">
        <f>I24-H24</f>
        <v>0</v>
      </c>
    </row>
    <row r="25" spans="1:10" x14ac:dyDescent="0.25">
      <c r="A25" s="255" t="s">
        <v>133</v>
      </c>
      <c r="B25" s="249"/>
      <c r="C25" s="204"/>
      <c r="D25" s="204"/>
      <c r="E25" s="204"/>
      <c r="F25" s="253"/>
      <c r="G25" s="253"/>
      <c r="H25" s="218"/>
      <c r="I25" s="218"/>
      <c r="J25" s="265"/>
    </row>
    <row r="26" spans="1:10" x14ac:dyDescent="0.25">
      <c r="A26" s="251" t="s">
        <v>245</v>
      </c>
      <c r="B26" s="251" t="s">
        <v>353</v>
      </c>
      <c r="C26" s="204" t="e">
        <f>#REF!</f>
        <v>#REF!</v>
      </c>
      <c r="D26" s="204" t="e">
        <f>#REF!</f>
        <v>#REF!</v>
      </c>
      <c r="E26" s="204" t="e">
        <f t="shared" ref="E26:E34" si="2">D26-C26</f>
        <v>#REF!</v>
      </c>
      <c r="F26" s="253"/>
      <c r="G26" s="253"/>
      <c r="H26" s="218"/>
      <c r="I26" s="218"/>
      <c r="J26" s="254"/>
    </row>
    <row r="27" spans="1:10" x14ac:dyDescent="0.25">
      <c r="A27" s="250" t="s">
        <v>246</v>
      </c>
      <c r="B27" s="251" t="s">
        <v>353</v>
      </c>
      <c r="C27" s="256" t="e">
        <f>#REF!</f>
        <v>#REF!</v>
      </c>
      <c r="D27" s="256"/>
      <c r="E27" s="204" t="e">
        <f t="shared" si="2"/>
        <v>#REF!</v>
      </c>
      <c r="F27" s="252" t="s">
        <v>247</v>
      </c>
      <c r="G27" s="252"/>
      <c r="H27" s="202">
        <f>SUM(H22:H26)</f>
        <v>0</v>
      </c>
      <c r="I27" s="202"/>
      <c r="J27" s="202">
        <f>SUM(J22:J24)</f>
        <v>0</v>
      </c>
    </row>
    <row r="28" spans="1:10" x14ac:dyDescent="0.25">
      <c r="A28" s="251" t="s">
        <v>248</v>
      </c>
      <c r="B28" s="251" t="s">
        <v>353</v>
      </c>
      <c r="C28" s="204" t="e">
        <f>#REF!</f>
        <v>#REF!</v>
      </c>
      <c r="D28" s="204" t="e">
        <f>#REF!</f>
        <v>#REF!</v>
      </c>
      <c r="E28" s="204" t="e">
        <f t="shared" si="2"/>
        <v>#REF!</v>
      </c>
      <c r="F28" s="257" t="s">
        <v>249</v>
      </c>
      <c r="G28" s="257"/>
      <c r="H28" s="306" t="e">
        <f>H19+H27</f>
        <v>#REF!</v>
      </c>
      <c r="I28" s="306" t="e">
        <f>I19+I27</f>
        <v>#REF!</v>
      </c>
      <c r="J28" s="306" t="e">
        <f>J27+J19</f>
        <v>#REF!</v>
      </c>
    </row>
    <row r="29" spans="1:10" x14ac:dyDescent="0.25">
      <c r="A29" s="250" t="s">
        <v>250</v>
      </c>
      <c r="B29" s="251"/>
      <c r="C29" s="258"/>
      <c r="D29" s="204"/>
      <c r="E29" s="204">
        <f t="shared" si="2"/>
        <v>0</v>
      </c>
      <c r="F29" s="253"/>
      <c r="G29" s="259"/>
      <c r="H29" s="234"/>
      <c r="I29" s="234"/>
      <c r="J29" s="265"/>
    </row>
    <row r="30" spans="1:10" x14ac:dyDescent="0.25">
      <c r="A30" s="260" t="s">
        <v>251</v>
      </c>
      <c r="B30" s="251"/>
      <c r="C30" s="234"/>
      <c r="D30" s="204"/>
      <c r="E30" s="204">
        <f t="shared" si="2"/>
        <v>0</v>
      </c>
      <c r="F30" s="253"/>
      <c r="G30" s="259"/>
      <c r="H30" s="234"/>
      <c r="I30" s="234"/>
      <c r="J30" s="265"/>
    </row>
    <row r="31" spans="1:10" x14ac:dyDescent="0.25">
      <c r="A31" s="251" t="s">
        <v>245</v>
      </c>
      <c r="B31" s="251" t="s">
        <v>353</v>
      </c>
      <c r="C31" s="204" t="e">
        <f>#REF!</f>
        <v>#REF!</v>
      </c>
      <c r="D31" s="204" t="e">
        <f>#REF!</f>
        <v>#REF!</v>
      </c>
      <c r="E31" s="204" t="e">
        <f t="shared" si="2"/>
        <v>#REF!</v>
      </c>
      <c r="F31" s="253"/>
      <c r="G31" s="259"/>
      <c r="H31" s="234"/>
      <c r="I31" s="234"/>
      <c r="J31" s="265"/>
    </row>
    <row r="32" spans="1:10" x14ac:dyDescent="0.25">
      <c r="A32" s="250" t="s">
        <v>246</v>
      </c>
      <c r="B32" s="251" t="s">
        <v>353</v>
      </c>
      <c r="C32" s="256" t="e">
        <f>#REF!</f>
        <v>#REF!</v>
      </c>
      <c r="D32" s="256"/>
      <c r="E32" s="204" t="e">
        <f t="shared" si="2"/>
        <v>#REF!</v>
      </c>
      <c r="F32" s="253"/>
      <c r="G32" s="259"/>
      <c r="H32" s="234"/>
      <c r="I32" s="234"/>
      <c r="J32" s="265"/>
    </row>
    <row r="33" spans="1:11" x14ac:dyDescent="0.25">
      <c r="A33" s="251" t="s">
        <v>248</v>
      </c>
      <c r="B33" s="251" t="s">
        <v>353</v>
      </c>
      <c r="C33" s="204" t="e">
        <f>#REF!</f>
        <v>#REF!</v>
      </c>
      <c r="D33" s="204" t="e">
        <f>#REF!</f>
        <v>#REF!</v>
      </c>
      <c r="E33" s="204" t="e">
        <f t="shared" si="2"/>
        <v>#REF!</v>
      </c>
      <c r="F33" s="253"/>
      <c r="G33" s="259"/>
      <c r="H33" s="234"/>
      <c r="I33" s="234"/>
      <c r="J33" s="265"/>
    </row>
    <row r="34" spans="1:11" x14ac:dyDescent="0.25">
      <c r="A34" s="250" t="s">
        <v>250</v>
      </c>
      <c r="B34" s="251"/>
      <c r="C34" s="258"/>
      <c r="D34" s="204"/>
      <c r="E34" s="204">
        <f t="shared" si="2"/>
        <v>0</v>
      </c>
      <c r="F34" s="242" t="s">
        <v>252</v>
      </c>
      <c r="G34" s="261"/>
      <c r="H34" s="256"/>
      <c r="I34" s="256"/>
      <c r="J34" s="265"/>
    </row>
    <row r="35" spans="1:11" x14ac:dyDescent="0.25">
      <c r="F35" s="249"/>
      <c r="G35" s="262"/>
      <c r="H35" s="256"/>
      <c r="I35" s="256"/>
      <c r="J35" s="265"/>
    </row>
    <row r="36" spans="1:11" x14ac:dyDescent="0.25">
      <c r="A36" s="255" t="s">
        <v>253</v>
      </c>
      <c r="B36" s="249"/>
      <c r="C36" s="204"/>
      <c r="D36" s="204"/>
      <c r="E36" s="254"/>
      <c r="F36" s="249" t="s">
        <v>123</v>
      </c>
      <c r="G36" s="263" t="s">
        <v>354</v>
      </c>
      <c r="H36" s="256" t="e">
        <f>#REF!</f>
        <v>#REF!</v>
      </c>
      <c r="I36" s="256" t="e">
        <f>#REF!</f>
        <v>#REF!</v>
      </c>
      <c r="J36" s="204" t="e">
        <f>I36-H36</f>
        <v>#REF!</v>
      </c>
    </row>
    <row r="37" spans="1:11" x14ac:dyDescent="0.25">
      <c r="A37" s="250" t="s">
        <v>254</v>
      </c>
      <c r="B37" s="251"/>
      <c r="C37" s="203"/>
      <c r="D37" s="234"/>
      <c r="E37" s="234">
        <f>D37-C37</f>
        <v>0</v>
      </c>
      <c r="F37" s="253"/>
      <c r="G37" s="238"/>
      <c r="H37" s="256"/>
      <c r="I37" s="256"/>
      <c r="J37" s="204">
        <f t="shared" ref="J37:J46" si="3">I37-H37</f>
        <v>0</v>
      </c>
    </row>
    <row r="38" spans="1:11" x14ac:dyDescent="0.25">
      <c r="A38" s="250" t="s">
        <v>255</v>
      </c>
      <c r="B38" s="251"/>
      <c r="C38" s="234"/>
      <c r="D38" s="234"/>
      <c r="E38" s="234">
        <f>D38-C38</f>
        <v>0</v>
      </c>
      <c r="F38" s="249" t="s">
        <v>256</v>
      </c>
      <c r="G38" s="262"/>
      <c r="H38" s="204"/>
      <c r="I38" s="204"/>
      <c r="J38" s="204">
        <f t="shared" si="3"/>
        <v>0</v>
      </c>
      <c r="K38" s="264"/>
    </row>
    <row r="39" spans="1:11" x14ac:dyDescent="0.25">
      <c r="A39" s="239" t="s">
        <v>347</v>
      </c>
      <c r="B39" s="239"/>
      <c r="C39" s="256"/>
      <c r="D39" s="256"/>
      <c r="E39" s="234"/>
      <c r="F39" s="266" t="s">
        <v>113</v>
      </c>
      <c r="G39" s="263" t="s">
        <v>354</v>
      </c>
      <c r="H39" s="256" t="e">
        <f>#REF!</f>
        <v>#REF!</v>
      </c>
      <c r="I39" s="203" t="e">
        <f>#REF!</f>
        <v>#REF!</v>
      </c>
      <c r="J39" s="204" t="e">
        <f t="shared" si="3"/>
        <v>#REF!</v>
      </c>
    </row>
    <row r="40" spans="1:11" x14ac:dyDescent="0.25">
      <c r="A40" s="240" t="s">
        <v>216</v>
      </c>
      <c r="B40" s="248" t="s">
        <v>352</v>
      </c>
      <c r="C40" s="256"/>
      <c r="D40" s="256" t="e">
        <f>#REF!</f>
        <v>#REF!</v>
      </c>
      <c r="E40" s="234" t="e">
        <f t="shared" ref="E40:E42" si="4">D40-C40</f>
        <v>#REF!</v>
      </c>
      <c r="F40" s="266"/>
      <c r="G40" s="263"/>
      <c r="H40" s="256"/>
      <c r="I40" s="203"/>
      <c r="J40" s="204"/>
    </row>
    <row r="41" spans="1:11" x14ac:dyDescent="0.25">
      <c r="A41" s="240" t="s">
        <v>218</v>
      </c>
      <c r="B41" s="248" t="s">
        <v>352</v>
      </c>
      <c r="C41" s="256"/>
      <c r="D41" s="256" t="e">
        <f>#REF!</f>
        <v>#REF!</v>
      </c>
      <c r="E41" s="234" t="e">
        <f t="shared" si="4"/>
        <v>#REF!</v>
      </c>
      <c r="F41" s="266"/>
      <c r="G41" s="263"/>
      <c r="H41" s="256"/>
      <c r="I41" s="203"/>
      <c r="J41" s="204"/>
    </row>
    <row r="42" spans="1:11" x14ac:dyDescent="0.25">
      <c r="A42" s="307" t="s">
        <v>350</v>
      </c>
      <c r="B42" s="248" t="s">
        <v>352</v>
      </c>
      <c r="C42" s="234"/>
      <c r="D42" s="234" t="e">
        <f>#REF!</f>
        <v>#REF!</v>
      </c>
      <c r="E42" s="234" t="e">
        <f t="shared" si="4"/>
        <v>#REF!</v>
      </c>
      <c r="F42" s="267" t="str">
        <f>[5]Razonetes!B79</f>
        <v>Res. p/ Contingências</v>
      </c>
      <c r="G42" s="263"/>
      <c r="H42" s="204"/>
      <c r="I42" s="204"/>
      <c r="J42" s="204">
        <f t="shared" si="3"/>
        <v>0</v>
      </c>
    </row>
    <row r="43" spans="1:11" x14ac:dyDescent="0.25">
      <c r="A43" s="252" t="s">
        <v>247</v>
      </c>
      <c r="B43" s="252"/>
      <c r="C43" s="202" t="e">
        <f>SUM(C20:C42)</f>
        <v>#REF!</v>
      </c>
      <c r="D43" s="202" t="e">
        <f>SUM(D20:D42)</f>
        <v>#REF!</v>
      </c>
      <c r="E43" s="202" t="e">
        <f>D43-C43</f>
        <v>#REF!</v>
      </c>
      <c r="F43" s="266" t="s">
        <v>257</v>
      </c>
      <c r="G43" s="263" t="s">
        <v>354</v>
      </c>
      <c r="H43" s="203" t="e">
        <f>#REF!</f>
        <v>#REF!</v>
      </c>
      <c r="I43" s="234" t="e">
        <f>#REF!</f>
        <v>#REF!</v>
      </c>
      <c r="J43" s="204" t="e">
        <f t="shared" si="3"/>
        <v>#REF!</v>
      </c>
    </row>
    <row r="44" spans="1:11" x14ac:dyDescent="0.25">
      <c r="A44" s="252"/>
      <c r="B44" s="252"/>
      <c r="C44" s="202"/>
      <c r="D44" s="202"/>
      <c r="E44" s="202"/>
      <c r="F44" s="266" t="s">
        <v>346</v>
      </c>
      <c r="G44" s="263" t="s">
        <v>354</v>
      </c>
      <c r="H44" s="203"/>
      <c r="I44" s="234" t="e">
        <f>#REF!</f>
        <v>#REF!</v>
      </c>
      <c r="J44" s="204" t="e">
        <f t="shared" si="3"/>
        <v>#REF!</v>
      </c>
    </row>
    <row r="45" spans="1:11" x14ac:dyDescent="0.25">
      <c r="A45" s="268"/>
      <c r="B45" s="268"/>
      <c r="C45" s="213"/>
      <c r="D45" s="213"/>
      <c r="E45" s="269"/>
      <c r="F45" s="249" t="s">
        <v>258</v>
      </c>
      <c r="G45" s="263"/>
      <c r="H45" s="203"/>
      <c r="I45" s="234"/>
      <c r="J45" s="204">
        <f t="shared" si="3"/>
        <v>0</v>
      </c>
    </row>
    <row r="46" spans="1:11" x14ac:dyDescent="0.25">
      <c r="A46" s="253"/>
      <c r="B46" s="253"/>
      <c r="C46" s="218"/>
      <c r="D46" s="218"/>
      <c r="E46" s="218"/>
      <c r="F46" s="270" t="s">
        <v>259</v>
      </c>
      <c r="G46" s="263" t="s">
        <v>354</v>
      </c>
      <c r="H46" s="234" t="e">
        <f>#REF!</f>
        <v>#REF!</v>
      </c>
      <c r="I46" s="234" t="e">
        <f>#REF!</f>
        <v>#REF!</v>
      </c>
      <c r="J46" s="204" t="e">
        <f t="shared" si="3"/>
        <v>#REF!</v>
      </c>
    </row>
    <row r="47" spans="1:11" x14ac:dyDescent="0.25">
      <c r="A47" s="253"/>
      <c r="B47" s="253"/>
      <c r="C47" s="218"/>
      <c r="D47" s="218"/>
      <c r="E47" s="218"/>
      <c r="F47" s="271" t="s">
        <v>260</v>
      </c>
      <c r="G47" s="271"/>
      <c r="H47" s="306" t="e">
        <f>SUM(H36:H46)</f>
        <v>#REF!</v>
      </c>
      <c r="I47" s="306" t="e">
        <f>SUM(I36:I46)</f>
        <v>#REF!</v>
      </c>
      <c r="J47" s="306" t="e">
        <f>SUM(J35:J46)</f>
        <v>#REF!</v>
      </c>
    </row>
    <row r="48" spans="1:11" x14ac:dyDescent="0.25">
      <c r="A48" s="272" t="s">
        <v>261</v>
      </c>
      <c r="B48" s="272"/>
      <c r="C48" s="273" t="e">
        <f>C19+C43</f>
        <v>#REF!</v>
      </c>
      <c r="D48" s="273" t="e">
        <f>D19+D43</f>
        <v>#REF!</v>
      </c>
      <c r="E48" s="273" t="e">
        <f>D48-C48</f>
        <v>#REF!</v>
      </c>
      <c r="F48" s="272" t="s">
        <v>262</v>
      </c>
      <c r="G48" s="272"/>
      <c r="H48" s="273" t="e">
        <f>H28+H47</f>
        <v>#REF!</v>
      </c>
      <c r="I48" s="273" t="e">
        <f>I28+I47</f>
        <v>#REF!</v>
      </c>
      <c r="J48" s="273" t="e">
        <f>H48-I48</f>
        <v>#REF!</v>
      </c>
    </row>
    <row r="50" spans="9:9" x14ac:dyDescent="0.25">
      <c r="I50" s="264"/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="130" zoomScaleNormal="130" workbookViewId="0">
      <selection activeCell="C5" sqref="C5"/>
    </sheetView>
  </sheetViews>
  <sheetFormatPr defaultRowHeight="15" x14ac:dyDescent="0.25"/>
  <cols>
    <col min="1" max="1" width="34.28515625" style="231" bestFit="1" customWidth="1"/>
    <col min="2" max="2" width="13.5703125" style="231" bestFit="1" customWidth="1"/>
    <col min="3" max="4" width="14.85546875" style="231" bestFit="1" customWidth="1"/>
    <col min="5" max="5" width="10.42578125" style="231" bestFit="1" customWidth="1"/>
    <col min="6" max="256" width="9.140625" style="231"/>
    <col min="257" max="257" width="34.28515625" style="231" bestFit="1" customWidth="1"/>
    <col min="258" max="258" width="12.28515625" style="231" customWidth="1"/>
    <col min="259" max="259" width="12.140625" style="231" customWidth="1"/>
    <col min="260" max="260" width="13.7109375" style="231" customWidth="1"/>
    <col min="261" max="261" width="10.42578125" style="231" bestFit="1" customWidth="1"/>
    <col min="262" max="512" width="9.140625" style="231"/>
    <col min="513" max="513" width="34.28515625" style="231" bestFit="1" customWidth="1"/>
    <col min="514" max="514" width="12.28515625" style="231" customWidth="1"/>
    <col min="515" max="515" width="12.140625" style="231" customWidth="1"/>
    <col min="516" max="516" width="13.7109375" style="231" customWidth="1"/>
    <col min="517" max="517" width="10.42578125" style="231" bestFit="1" customWidth="1"/>
    <col min="518" max="768" width="9.140625" style="231"/>
    <col min="769" max="769" width="34.28515625" style="231" bestFit="1" customWidth="1"/>
    <col min="770" max="770" width="12.28515625" style="231" customWidth="1"/>
    <col min="771" max="771" width="12.140625" style="231" customWidth="1"/>
    <col min="772" max="772" width="13.7109375" style="231" customWidth="1"/>
    <col min="773" max="773" width="10.42578125" style="231" bestFit="1" customWidth="1"/>
    <col min="774" max="1024" width="9.140625" style="231"/>
    <col min="1025" max="1025" width="34.28515625" style="231" bestFit="1" customWidth="1"/>
    <col min="1026" max="1026" width="12.28515625" style="231" customWidth="1"/>
    <col min="1027" max="1027" width="12.140625" style="231" customWidth="1"/>
    <col min="1028" max="1028" width="13.7109375" style="231" customWidth="1"/>
    <col min="1029" max="1029" width="10.42578125" style="231" bestFit="1" customWidth="1"/>
    <col min="1030" max="1280" width="9.140625" style="231"/>
    <col min="1281" max="1281" width="34.28515625" style="231" bestFit="1" customWidth="1"/>
    <col min="1282" max="1282" width="12.28515625" style="231" customWidth="1"/>
    <col min="1283" max="1283" width="12.140625" style="231" customWidth="1"/>
    <col min="1284" max="1284" width="13.7109375" style="231" customWidth="1"/>
    <col min="1285" max="1285" width="10.42578125" style="231" bestFit="1" customWidth="1"/>
    <col min="1286" max="1536" width="9.140625" style="231"/>
    <col min="1537" max="1537" width="34.28515625" style="231" bestFit="1" customWidth="1"/>
    <col min="1538" max="1538" width="12.28515625" style="231" customWidth="1"/>
    <col min="1539" max="1539" width="12.140625" style="231" customWidth="1"/>
    <col min="1540" max="1540" width="13.7109375" style="231" customWidth="1"/>
    <col min="1541" max="1541" width="10.42578125" style="231" bestFit="1" customWidth="1"/>
    <col min="1542" max="1792" width="9.140625" style="231"/>
    <col min="1793" max="1793" width="34.28515625" style="231" bestFit="1" customWidth="1"/>
    <col min="1794" max="1794" width="12.28515625" style="231" customWidth="1"/>
    <col min="1795" max="1795" width="12.140625" style="231" customWidth="1"/>
    <col min="1796" max="1796" width="13.7109375" style="231" customWidth="1"/>
    <col min="1797" max="1797" width="10.42578125" style="231" bestFit="1" customWidth="1"/>
    <col min="1798" max="2048" width="9.140625" style="231"/>
    <col min="2049" max="2049" width="34.28515625" style="231" bestFit="1" customWidth="1"/>
    <col min="2050" max="2050" width="12.28515625" style="231" customWidth="1"/>
    <col min="2051" max="2051" width="12.140625" style="231" customWidth="1"/>
    <col min="2052" max="2052" width="13.7109375" style="231" customWidth="1"/>
    <col min="2053" max="2053" width="10.42578125" style="231" bestFit="1" customWidth="1"/>
    <col min="2054" max="2304" width="9.140625" style="231"/>
    <col min="2305" max="2305" width="34.28515625" style="231" bestFit="1" customWidth="1"/>
    <col min="2306" max="2306" width="12.28515625" style="231" customWidth="1"/>
    <col min="2307" max="2307" width="12.140625" style="231" customWidth="1"/>
    <col min="2308" max="2308" width="13.7109375" style="231" customWidth="1"/>
    <col min="2309" max="2309" width="10.42578125" style="231" bestFit="1" customWidth="1"/>
    <col min="2310" max="2560" width="9.140625" style="231"/>
    <col min="2561" max="2561" width="34.28515625" style="231" bestFit="1" customWidth="1"/>
    <col min="2562" max="2562" width="12.28515625" style="231" customWidth="1"/>
    <col min="2563" max="2563" width="12.140625" style="231" customWidth="1"/>
    <col min="2564" max="2564" width="13.7109375" style="231" customWidth="1"/>
    <col min="2565" max="2565" width="10.42578125" style="231" bestFit="1" customWidth="1"/>
    <col min="2566" max="2816" width="9.140625" style="231"/>
    <col min="2817" max="2817" width="34.28515625" style="231" bestFit="1" customWidth="1"/>
    <col min="2818" max="2818" width="12.28515625" style="231" customWidth="1"/>
    <col min="2819" max="2819" width="12.140625" style="231" customWidth="1"/>
    <col min="2820" max="2820" width="13.7109375" style="231" customWidth="1"/>
    <col min="2821" max="2821" width="10.42578125" style="231" bestFit="1" customWidth="1"/>
    <col min="2822" max="3072" width="9.140625" style="231"/>
    <col min="3073" max="3073" width="34.28515625" style="231" bestFit="1" customWidth="1"/>
    <col min="3074" max="3074" width="12.28515625" style="231" customWidth="1"/>
    <col min="3075" max="3075" width="12.140625" style="231" customWidth="1"/>
    <col min="3076" max="3076" width="13.7109375" style="231" customWidth="1"/>
    <col min="3077" max="3077" width="10.42578125" style="231" bestFit="1" customWidth="1"/>
    <col min="3078" max="3328" width="9.140625" style="231"/>
    <col min="3329" max="3329" width="34.28515625" style="231" bestFit="1" customWidth="1"/>
    <col min="3330" max="3330" width="12.28515625" style="231" customWidth="1"/>
    <col min="3331" max="3331" width="12.140625" style="231" customWidth="1"/>
    <col min="3332" max="3332" width="13.7109375" style="231" customWidth="1"/>
    <col min="3333" max="3333" width="10.42578125" style="231" bestFit="1" customWidth="1"/>
    <col min="3334" max="3584" width="9.140625" style="231"/>
    <col min="3585" max="3585" width="34.28515625" style="231" bestFit="1" customWidth="1"/>
    <col min="3586" max="3586" width="12.28515625" style="231" customWidth="1"/>
    <col min="3587" max="3587" width="12.140625" style="231" customWidth="1"/>
    <col min="3588" max="3588" width="13.7109375" style="231" customWidth="1"/>
    <col min="3589" max="3589" width="10.42578125" style="231" bestFit="1" customWidth="1"/>
    <col min="3590" max="3840" width="9.140625" style="231"/>
    <col min="3841" max="3841" width="34.28515625" style="231" bestFit="1" customWidth="1"/>
    <col min="3842" max="3842" width="12.28515625" style="231" customWidth="1"/>
    <col min="3843" max="3843" width="12.140625" style="231" customWidth="1"/>
    <col min="3844" max="3844" width="13.7109375" style="231" customWidth="1"/>
    <col min="3845" max="3845" width="10.42578125" style="231" bestFit="1" customWidth="1"/>
    <col min="3846" max="4096" width="9.140625" style="231"/>
    <col min="4097" max="4097" width="34.28515625" style="231" bestFit="1" customWidth="1"/>
    <col min="4098" max="4098" width="12.28515625" style="231" customWidth="1"/>
    <col min="4099" max="4099" width="12.140625" style="231" customWidth="1"/>
    <col min="4100" max="4100" width="13.7109375" style="231" customWidth="1"/>
    <col min="4101" max="4101" width="10.42578125" style="231" bestFit="1" customWidth="1"/>
    <col min="4102" max="4352" width="9.140625" style="231"/>
    <col min="4353" max="4353" width="34.28515625" style="231" bestFit="1" customWidth="1"/>
    <col min="4354" max="4354" width="12.28515625" style="231" customWidth="1"/>
    <col min="4355" max="4355" width="12.140625" style="231" customWidth="1"/>
    <col min="4356" max="4356" width="13.7109375" style="231" customWidth="1"/>
    <col min="4357" max="4357" width="10.42578125" style="231" bestFit="1" customWidth="1"/>
    <col min="4358" max="4608" width="9.140625" style="231"/>
    <col min="4609" max="4609" width="34.28515625" style="231" bestFit="1" customWidth="1"/>
    <col min="4610" max="4610" width="12.28515625" style="231" customWidth="1"/>
    <col min="4611" max="4611" width="12.140625" style="231" customWidth="1"/>
    <col min="4612" max="4612" width="13.7109375" style="231" customWidth="1"/>
    <col min="4613" max="4613" width="10.42578125" style="231" bestFit="1" customWidth="1"/>
    <col min="4614" max="4864" width="9.140625" style="231"/>
    <col min="4865" max="4865" width="34.28515625" style="231" bestFit="1" customWidth="1"/>
    <col min="4866" max="4866" width="12.28515625" style="231" customWidth="1"/>
    <col min="4867" max="4867" width="12.140625" style="231" customWidth="1"/>
    <col min="4868" max="4868" width="13.7109375" style="231" customWidth="1"/>
    <col min="4869" max="4869" width="10.42578125" style="231" bestFit="1" customWidth="1"/>
    <col min="4870" max="5120" width="9.140625" style="231"/>
    <col min="5121" max="5121" width="34.28515625" style="231" bestFit="1" customWidth="1"/>
    <col min="5122" max="5122" width="12.28515625" style="231" customWidth="1"/>
    <col min="5123" max="5123" width="12.140625" style="231" customWidth="1"/>
    <col min="5124" max="5124" width="13.7109375" style="231" customWidth="1"/>
    <col min="5125" max="5125" width="10.42578125" style="231" bestFit="1" customWidth="1"/>
    <col min="5126" max="5376" width="9.140625" style="231"/>
    <col min="5377" max="5377" width="34.28515625" style="231" bestFit="1" customWidth="1"/>
    <col min="5378" max="5378" width="12.28515625" style="231" customWidth="1"/>
    <col min="5379" max="5379" width="12.140625" style="231" customWidth="1"/>
    <col min="5380" max="5380" width="13.7109375" style="231" customWidth="1"/>
    <col min="5381" max="5381" width="10.42578125" style="231" bestFit="1" customWidth="1"/>
    <col min="5382" max="5632" width="9.140625" style="231"/>
    <col min="5633" max="5633" width="34.28515625" style="231" bestFit="1" customWidth="1"/>
    <col min="5634" max="5634" width="12.28515625" style="231" customWidth="1"/>
    <col min="5635" max="5635" width="12.140625" style="231" customWidth="1"/>
    <col min="5636" max="5636" width="13.7109375" style="231" customWidth="1"/>
    <col min="5637" max="5637" width="10.42578125" style="231" bestFit="1" customWidth="1"/>
    <col min="5638" max="5888" width="9.140625" style="231"/>
    <col min="5889" max="5889" width="34.28515625" style="231" bestFit="1" customWidth="1"/>
    <col min="5890" max="5890" width="12.28515625" style="231" customWidth="1"/>
    <col min="5891" max="5891" width="12.140625" style="231" customWidth="1"/>
    <col min="5892" max="5892" width="13.7109375" style="231" customWidth="1"/>
    <col min="5893" max="5893" width="10.42578125" style="231" bestFit="1" customWidth="1"/>
    <col min="5894" max="6144" width="9.140625" style="231"/>
    <col min="6145" max="6145" width="34.28515625" style="231" bestFit="1" customWidth="1"/>
    <col min="6146" max="6146" width="12.28515625" style="231" customWidth="1"/>
    <col min="6147" max="6147" width="12.140625" style="231" customWidth="1"/>
    <col min="6148" max="6148" width="13.7109375" style="231" customWidth="1"/>
    <col min="6149" max="6149" width="10.42578125" style="231" bestFit="1" customWidth="1"/>
    <col min="6150" max="6400" width="9.140625" style="231"/>
    <col min="6401" max="6401" width="34.28515625" style="231" bestFit="1" customWidth="1"/>
    <col min="6402" max="6402" width="12.28515625" style="231" customWidth="1"/>
    <col min="6403" max="6403" width="12.140625" style="231" customWidth="1"/>
    <col min="6404" max="6404" width="13.7109375" style="231" customWidth="1"/>
    <col min="6405" max="6405" width="10.42578125" style="231" bestFit="1" customWidth="1"/>
    <col min="6406" max="6656" width="9.140625" style="231"/>
    <col min="6657" max="6657" width="34.28515625" style="231" bestFit="1" customWidth="1"/>
    <col min="6658" max="6658" width="12.28515625" style="231" customWidth="1"/>
    <col min="6659" max="6659" width="12.140625" style="231" customWidth="1"/>
    <col min="6660" max="6660" width="13.7109375" style="231" customWidth="1"/>
    <col min="6661" max="6661" width="10.42578125" style="231" bestFit="1" customWidth="1"/>
    <col min="6662" max="6912" width="9.140625" style="231"/>
    <col min="6913" max="6913" width="34.28515625" style="231" bestFit="1" customWidth="1"/>
    <col min="6914" max="6914" width="12.28515625" style="231" customWidth="1"/>
    <col min="6915" max="6915" width="12.140625" style="231" customWidth="1"/>
    <col min="6916" max="6916" width="13.7109375" style="231" customWidth="1"/>
    <col min="6917" max="6917" width="10.42578125" style="231" bestFit="1" customWidth="1"/>
    <col min="6918" max="7168" width="9.140625" style="231"/>
    <col min="7169" max="7169" width="34.28515625" style="231" bestFit="1" customWidth="1"/>
    <col min="7170" max="7170" width="12.28515625" style="231" customWidth="1"/>
    <col min="7171" max="7171" width="12.140625" style="231" customWidth="1"/>
    <col min="7172" max="7172" width="13.7109375" style="231" customWidth="1"/>
    <col min="7173" max="7173" width="10.42578125" style="231" bestFit="1" customWidth="1"/>
    <col min="7174" max="7424" width="9.140625" style="231"/>
    <col min="7425" max="7425" width="34.28515625" style="231" bestFit="1" customWidth="1"/>
    <col min="7426" max="7426" width="12.28515625" style="231" customWidth="1"/>
    <col min="7427" max="7427" width="12.140625" style="231" customWidth="1"/>
    <col min="7428" max="7428" width="13.7109375" style="231" customWidth="1"/>
    <col min="7429" max="7429" width="10.42578125" style="231" bestFit="1" customWidth="1"/>
    <col min="7430" max="7680" width="9.140625" style="231"/>
    <col min="7681" max="7681" width="34.28515625" style="231" bestFit="1" customWidth="1"/>
    <col min="7682" max="7682" width="12.28515625" style="231" customWidth="1"/>
    <col min="7683" max="7683" width="12.140625" style="231" customWidth="1"/>
    <col min="7684" max="7684" width="13.7109375" style="231" customWidth="1"/>
    <col min="7685" max="7685" width="10.42578125" style="231" bestFit="1" customWidth="1"/>
    <col min="7686" max="7936" width="9.140625" style="231"/>
    <col min="7937" max="7937" width="34.28515625" style="231" bestFit="1" customWidth="1"/>
    <col min="7938" max="7938" width="12.28515625" style="231" customWidth="1"/>
    <col min="7939" max="7939" width="12.140625" style="231" customWidth="1"/>
    <col min="7940" max="7940" width="13.7109375" style="231" customWidth="1"/>
    <col min="7941" max="7941" width="10.42578125" style="231" bestFit="1" customWidth="1"/>
    <col min="7942" max="8192" width="9.140625" style="231"/>
    <col min="8193" max="8193" width="34.28515625" style="231" bestFit="1" customWidth="1"/>
    <col min="8194" max="8194" width="12.28515625" style="231" customWidth="1"/>
    <col min="8195" max="8195" width="12.140625" style="231" customWidth="1"/>
    <col min="8196" max="8196" width="13.7109375" style="231" customWidth="1"/>
    <col min="8197" max="8197" width="10.42578125" style="231" bestFit="1" customWidth="1"/>
    <col min="8198" max="8448" width="9.140625" style="231"/>
    <col min="8449" max="8449" width="34.28515625" style="231" bestFit="1" customWidth="1"/>
    <col min="8450" max="8450" width="12.28515625" style="231" customWidth="1"/>
    <col min="8451" max="8451" width="12.140625" style="231" customWidth="1"/>
    <col min="8452" max="8452" width="13.7109375" style="231" customWidth="1"/>
    <col min="8453" max="8453" width="10.42578125" style="231" bestFit="1" customWidth="1"/>
    <col min="8454" max="8704" width="9.140625" style="231"/>
    <col min="8705" max="8705" width="34.28515625" style="231" bestFit="1" customWidth="1"/>
    <col min="8706" max="8706" width="12.28515625" style="231" customWidth="1"/>
    <col min="8707" max="8707" width="12.140625" style="231" customWidth="1"/>
    <col min="8708" max="8708" width="13.7109375" style="231" customWidth="1"/>
    <col min="8709" max="8709" width="10.42578125" style="231" bestFit="1" customWidth="1"/>
    <col min="8710" max="8960" width="9.140625" style="231"/>
    <col min="8961" max="8961" width="34.28515625" style="231" bestFit="1" customWidth="1"/>
    <col min="8962" max="8962" width="12.28515625" style="231" customWidth="1"/>
    <col min="8963" max="8963" width="12.140625" style="231" customWidth="1"/>
    <col min="8964" max="8964" width="13.7109375" style="231" customWidth="1"/>
    <col min="8965" max="8965" width="10.42578125" style="231" bestFit="1" customWidth="1"/>
    <col min="8966" max="9216" width="9.140625" style="231"/>
    <col min="9217" max="9217" width="34.28515625" style="231" bestFit="1" customWidth="1"/>
    <col min="9218" max="9218" width="12.28515625" style="231" customWidth="1"/>
    <col min="9219" max="9219" width="12.140625" style="231" customWidth="1"/>
    <col min="9220" max="9220" width="13.7109375" style="231" customWidth="1"/>
    <col min="9221" max="9221" width="10.42578125" style="231" bestFit="1" customWidth="1"/>
    <col min="9222" max="9472" width="9.140625" style="231"/>
    <col min="9473" max="9473" width="34.28515625" style="231" bestFit="1" customWidth="1"/>
    <col min="9474" max="9474" width="12.28515625" style="231" customWidth="1"/>
    <col min="9475" max="9475" width="12.140625" style="231" customWidth="1"/>
    <col min="9476" max="9476" width="13.7109375" style="231" customWidth="1"/>
    <col min="9477" max="9477" width="10.42578125" style="231" bestFit="1" customWidth="1"/>
    <col min="9478" max="9728" width="9.140625" style="231"/>
    <col min="9729" max="9729" width="34.28515625" style="231" bestFit="1" customWidth="1"/>
    <col min="9730" max="9730" width="12.28515625" style="231" customWidth="1"/>
    <col min="9731" max="9731" width="12.140625" style="231" customWidth="1"/>
    <col min="9732" max="9732" width="13.7109375" style="231" customWidth="1"/>
    <col min="9733" max="9733" width="10.42578125" style="231" bestFit="1" customWidth="1"/>
    <col min="9734" max="9984" width="9.140625" style="231"/>
    <col min="9985" max="9985" width="34.28515625" style="231" bestFit="1" customWidth="1"/>
    <col min="9986" max="9986" width="12.28515625" style="231" customWidth="1"/>
    <col min="9987" max="9987" width="12.140625" style="231" customWidth="1"/>
    <col min="9988" max="9988" width="13.7109375" style="231" customWidth="1"/>
    <col min="9989" max="9989" width="10.42578125" style="231" bestFit="1" customWidth="1"/>
    <col min="9990" max="10240" width="9.140625" style="231"/>
    <col min="10241" max="10241" width="34.28515625" style="231" bestFit="1" customWidth="1"/>
    <col min="10242" max="10242" width="12.28515625" style="231" customWidth="1"/>
    <col min="10243" max="10243" width="12.140625" style="231" customWidth="1"/>
    <col min="10244" max="10244" width="13.7109375" style="231" customWidth="1"/>
    <col min="10245" max="10245" width="10.42578125" style="231" bestFit="1" customWidth="1"/>
    <col min="10246" max="10496" width="9.140625" style="231"/>
    <col min="10497" max="10497" width="34.28515625" style="231" bestFit="1" customWidth="1"/>
    <col min="10498" max="10498" width="12.28515625" style="231" customWidth="1"/>
    <col min="10499" max="10499" width="12.140625" style="231" customWidth="1"/>
    <col min="10500" max="10500" width="13.7109375" style="231" customWidth="1"/>
    <col min="10501" max="10501" width="10.42578125" style="231" bestFit="1" customWidth="1"/>
    <col min="10502" max="10752" width="9.140625" style="231"/>
    <col min="10753" max="10753" width="34.28515625" style="231" bestFit="1" customWidth="1"/>
    <col min="10754" max="10754" width="12.28515625" style="231" customWidth="1"/>
    <col min="10755" max="10755" width="12.140625" style="231" customWidth="1"/>
    <col min="10756" max="10756" width="13.7109375" style="231" customWidth="1"/>
    <col min="10757" max="10757" width="10.42578125" style="231" bestFit="1" customWidth="1"/>
    <col min="10758" max="11008" width="9.140625" style="231"/>
    <col min="11009" max="11009" width="34.28515625" style="231" bestFit="1" customWidth="1"/>
    <col min="11010" max="11010" width="12.28515625" style="231" customWidth="1"/>
    <col min="11011" max="11011" width="12.140625" style="231" customWidth="1"/>
    <col min="11012" max="11012" width="13.7109375" style="231" customWidth="1"/>
    <col min="11013" max="11013" width="10.42578125" style="231" bestFit="1" customWidth="1"/>
    <col min="11014" max="11264" width="9.140625" style="231"/>
    <col min="11265" max="11265" width="34.28515625" style="231" bestFit="1" customWidth="1"/>
    <col min="11266" max="11266" width="12.28515625" style="231" customWidth="1"/>
    <col min="11267" max="11267" width="12.140625" style="231" customWidth="1"/>
    <col min="11268" max="11268" width="13.7109375" style="231" customWidth="1"/>
    <col min="11269" max="11269" width="10.42578125" style="231" bestFit="1" customWidth="1"/>
    <col min="11270" max="11520" width="9.140625" style="231"/>
    <col min="11521" max="11521" width="34.28515625" style="231" bestFit="1" customWidth="1"/>
    <col min="11522" max="11522" width="12.28515625" style="231" customWidth="1"/>
    <col min="11523" max="11523" width="12.140625" style="231" customWidth="1"/>
    <col min="11524" max="11524" width="13.7109375" style="231" customWidth="1"/>
    <col min="11525" max="11525" width="10.42578125" style="231" bestFit="1" customWidth="1"/>
    <col min="11526" max="11776" width="9.140625" style="231"/>
    <col min="11777" max="11777" width="34.28515625" style="231" bestFit="1" customWidth="1"/>
    <col min="11778" max="11778" width="12.28515625" style="231" customWidth="1"/>
    <col min="11779" max="11779" width="12.140625" style="231" customWidth="1"/>
    <col min="11780" max="11780" width="13.7109375" style="231" customWidth="1"/>
    <col min="11781" max="11781" width="10.42578125" style="231" bestFit="1" customWidth="1"/>
    <col min="11782" max="12032" width="9.140625" style="231"/>
    <col min="12033" max="12033" width="34.28515625" style="231" bestFit="1" customWidth="1"/>
    <col min="12034" max="12034" width="12.28515625" style="231" customWidth="1"/>
    <col min="12035" max="12035" width="12.140625" style="231" customWidth="1"/>
    <col min="12036" max="12036" width="13.7109375" style="231" customWidth="1"/>
    <col min="12037" max="12037" width="10.42578125" style="231" bestFit="1" customWidth="1"/>
    <col min="12038" max="12288" width="9.140625" style="231"/>
    <col min="12289" max="12289" width="34.28515625" style="231" bestFit="1" customWidth="1"/>
    <col min="12290" max="12290" width="12.28515625" style="231" customWidth="1"/>
    <col min="12291" max="12291" width="12.140625" style="231" customWidth="1"/>
    <col min="12292" max="12292" width="13.7109375" style="231" customWidth="1"/>
    <col min="12293" max="12293" width="10.42578125" style="231" bestFit="1" customWidth="1"/>
    <col min="12294" max="12544" width="9.140625" style="231"/>
    <col min="12545" max="12545" width="34.28515625" style="231" bestFit="1" customWidth="1"/>
    <col min="12546" max="12546" width="12.28515625" style="231" customWidth="1"/>
    <col min="12547" max="12547" width="12.140625" style="231" customWidth="1"/>
    <col min="12548" max="12548" width="13.7109375" style="231" customWidth="1"/>
    <col min="12549" max="12549" width="10.42578125" style="231" bestFit="1" customWidth="1"/>
    <col min="12550" max="12800" width="9.140625" style="231"/>
    <col min="12801" max="12801" width="34.28515625" style="231" bestFit="1" customWidth="1"/>
    <col min="12802" max="12802" width="12.28515625" style="231" customWidth="1"/>
    <col min="12803" max="12803" width="12.140625" style="231" customWidth="1"/>
    <col min="12804" max="12804" width="13.7109375" style="231" customWidth="1"/>
    <col min="12805" max="12805" width="10.42578125" style="231" bestFit="1" customWidth="1"/>
    <col min="12806" max="13056" width="9.140625" style="231"/>
    <col min="13057" max="13057" width="34.28515625" style="231" bestFit="1" customWidth="1"/>
    <col min="13058" max="13058" width="12.28515625" style="231" customWidth="1"/>
    <col min="13059" max="13059" width="12.140625" style="231" customWidth="1"/>
    <col min="13060" max="13060" width="13.7109375" style="231" customWidth="1"/>
    <col min="13061" max="13061" width="10.42578125" style="231" bestFit="1" customWidth="1"/>
    <col min="13062" max="13312" width="9.140625" style="231"/>
    <col min="13313" max="13313" width="34.28515625" style="231" bestFit="1" customWidth="1"/>
    <col min="13314" max="13314" width="12.28515625" style="231" customWidth="1"/>
    <col min="13315" max="13315" width="12.140625" style="231" customWidth="1"/>
    <col min="13316" max="13316" width="13.7109375" style="231" customWidth="1"/>
    <col min="13317" max="13317" width="10.42578125" style="231" bestFit="1" customWidth="1"/>
    <col min="13318" max="13568" width="9.140625" style="231"/>
    <col min="13569" max="13569" width="34.28515625" style="231" bestFit="1" customWidth="1"/>
    <col min="13570" max="13570" width="12.28515625" style="231" customWidth="1"/>
    <col min="13571" max="13571" width="12.140625" style="231" customWidth="1"/>
    <col min="13572" max="13572" width="13.7109375" style="231" customWidth="1"/>
    <col min="13573" max="13573" width="10.42578125" style="231" bestFit="1" customWidth="1"/>
    <col min="13574" max="13824" width="9.140625" style="231"/>
    <col min="13825" max="13825" width="34.28515625" style="231" bestFit="1" customWidth="1"/>
    <col min="13826" max="13826" width="12.28515625" style="231" customWidth="1"/>
    <col min="13827" max="13827" width="12.140625" style="231" customWidth="1"/>
    <col min="13828" max="13828" width="13.7109375" style="231" customWidth="1"/>
    <col min="13829" max="13829" width="10.42578125" style="231" bestFit="1" customWidth="1"/>
    <col min="13830" max="14080" width="9.140625" style="231"/>
    <col min="14081" max="14081" width="34.28515625" style="231" bestFit="1" customWidth="1"/>
    <col min="14082" max="14082" width="12.28515625" style="231" customWidth="1"/>
    <col min="14083" max="14083" width="12.140625" style="231" customWidth="1"/>
    <col min="14084" max="14084" width="13.7109375" style="231" customWidth="1"/>
    <col min="14085" max="14085" width="10.42578125" style="231" bestFit="1" customWidth="1"/>
    <col min="14086" max="14336" width="9.140625" style="231"/>
    <col min="14337" max="14337" width="34.28515625" style="231" bestFit="1" customWidth="1"/>
    <col min="14338" max="14338" width="12.28515625" style="231" customWidth="1"/>
    <col min="14339" max="14339" width="12.140625" style="231" customWidth="1"/>
    <col min="14340" max="14340" width="13.7109375" style="231" customWidth="1"/>
    <col min="14341" max="14341" width="10.42578125" style="231" bestFit="1" customWidth="1"/>
    <col min="14342" max="14592" width="9.140625" style="231"/>
    <col min="14593" max="14593" width="34.28515625" style="231" bestFit="1" customWidth="1"/>
    <col min="14594" max="14594" width="12.28515625" style="231" customWidth="1"/>
    <col min="14595" max="14595" width="12.140625" style="231" customWidth="1"/>
    <col min="14596" max="14596" width="13.7109375" style="231" customWidth="1"/>
    <col min="14597" max="14597" width="10.42578125" style="231" bestFit="1" customWidth="1"/>
    <col min="14598" max="14848" width="9.140625" style="231"/>
    <col min="14849" max="14849" width="34.28515625" style="231" bestFit="1" customWidth="1"/>
    <col min="14850" max="14850" width="12.28515625" style="231" customWidth="1"/>
    <col min="14851" max="14851" width="12.140625" style="231" customWidth="1"/>
    <col min="14852" max="14852" width="13.7109375" style="231" customWidth="1"/>
    <col min="14853" max="14853" width="10.42578125" style="231" bestFit="1" customWidth="1"/>
    <col min="14854" max="15104" width="9.140625" style="231"/>
    <col min="15105" max="15105" width="34.28515625" style="231" bestFit="1" customWidth="1"/>
    <col min="15106" max="15106" width="12.28515625" style="231" customWidth="1"/>
    <col min="15107" max="15107" width="12.140625" style="231" customWidth="1"/>
    <col min="15108" max="15108" width="13.7109375" style="231" customWidth="1"/>
    <col min="15109" max="15109" width="10.42578125" style="231" bestFit="1" customWidth="1"/>
    <col min="15110" max="15360" width="9.140625" style="231"/>
    <col min="15361" max="15361" width="34.28515625" style="231" bestFit="1" customWidth="1"/>
    <col min="15362" max="15362" width="12.28515625" style="231" customWidth="1"/>
    <col min="15363" max="15363" width="12.140625" style="231" customWidth="1"/>
    <col min="15364" max="15364" width="13.7109375" style="231" customWidth="1"/>
    <col min="15365" max="15365" width="10.42578125" style="231" bestFit="1" customWidth="1"/>
    <col min="15366" max="15616" width="9.140625" style="231"/>
    <col min="15617" max="15617" width="34.28515625" style="231" bestFit="1" customWidth="1"/>
    <col min="15618" max="15618" width="12.28515625" style="231" customWidth="1"/>
    <col min="15619" max="15619" width="12.140625" style="231" customWidth="1"/>
    <col min="15620" max="15620" width="13.7109375" style="231" customWidth="1"/>
    <col min="15621" max="15621" width="10.42578125" style="231" bestFit="1" customWidth="1"/>
    <col min="15622" max="15872" width="9.140625" style="231"/>
    <col min="15873" max="15873" width="34.28515625" style="231" bestFit="1" customWidth="1"/>
    <col min="15874" max="15874" width="12.28515625" style="231" customWidth="1"/>
    <col min="15875" max="15875" width="12.140625" style="231" customWidth="1"/>
    <col min="15876" max="15876" width="13.7109375" style="231" customWidth="1"/>
    <col min="15877" max="15877" width="10.42578125" style="231" bestFit="1" customWidth="1"/>
    <col min="15878" max="16128" width="9.140625" style="231"/>
    <col min="16129" max="16129" width="34.28515625" style="231" bestFit="1" customWidth="1"/>
    <col min="16130" max="16130" width="12.28515625" style="231" customWidth="1"/>
    <col min="16131" max="16131" width="12.140625" style="231" customWidth="1"/>
    <col min="16132" max="16132" width="13.7109375" style="231" customWidth="1"/>
    <col min="16133" max="16133" width="10.42578125" style="231" bestFit="1" customWidth="1"/>
    <col min="16134" max="16384" width="9.140625" style="231"/>
  </cols>
  <sheetData>
    <row r="1" spans="1:5" x14ac:dyDescent="0.25">
      <c r="A1" s="707" t="s">
        <v>263</v>
      </c>
      <c r="B1" s="709" t="s">
        <v>264</v>
      </c>
      <c r="C1" s="709" t="s">
        <v>265</v>
      </c>
      <c r="D1" s="274" t="s">
        <v>266</v>
      </c>
    </row>
    <row r="2" spans="1:5" ht="15.75" thickBot="1" x14ac:dyDescent="0.3">
      <c r="A2" s="708"/>
      <c r="B2" s="710"/>
      <c r="C2" s="710"/>
      <c r="D2" s="275" t="s">
        <v>267</v>
      </c>
    </row>
    <row r="3" spans="1:5" ht="15.75" thickBot="1" x14ac:dyDescent="0.3">
      <c r="A3" s="276" t="s">
        <v>268</v>
      </c>
      <c r="B3" s="309" t="e">
        <f>'BP (2)'!C8</f>
        <v>#REF!</v>
      </c>
      <c r="C3" s="309" t="e">
        <f>'BP (2)'!D8</f>
        <v>#REF!</v>
      </c>
      <c r="D3" s="309" t="e">
        <f>C3-B3</f>
        <v>#REF!</v>
      </c>
    </row>
    <row r="4" spans="1:5" ht="15.75" thickBot="1" x14ac:dyDescent="0.3">
      <c r="A4" s="277"/>
      <c r="B4" s="310"/>
      <c r="C4" s="310"/>
      <c r="D4" s="311"/>
    </row>
    <row r="5" spans="1:5" ht="15.75" thickBot="1" x14ac:dyDescent="0.3">
      <c r="A5" s="277" t="s">
        <v>269</v>
      </c>
      <c r="B5" s="310" t="e">
        <f>'BP (2)'!C10+'BP (2)'!C12+'BP (2)'!C14</f>
        <v>#REF!</v>
      </c>
      <c r="C5" s="310" t="e">
        <f>'BP (2)'!D10+'BP (2)'!D11+'BP (2)'!D12+'BP (2)'!D14+'BP (2)'!D15+'BP (2)'!D16+'BP (2)'!D17+'BP (2)'!D18+'BP (2)'!D40+'BP (2)'!D41+'BP (2)'!D42</f>
        <v>#REF!</v>
      </c>
      <c r="D5" s="311" t="e">
        <f>C5-B5</f>
        <v>#REF!</v>
      </c>
    </row>
    <row r="6" spans="1:5" ht="15.75" thickBot="1" x14ac:dyDescent="0.3">
      <c r="A6" s="277" t="s">
        <v>270</v>
      </c>
      <c r="B6" s="310" t="e">
        <f>-('BP (2)'!H9+'BP (2)'!H12+'BP (2)'!H13+'BP (2)'!H15)</f>
        <v>#REF!</v>
      </c>
      <c r="C6" s="310" t="e">
        <f>-('BP (2)'!I10+'BP (2)'!I12+'BP (2)'!I13+'BP (2)'!I15)</f>
        <v>#REF!</v>
      </c>
      <c r="D6" s="311" t="e">
        <f>C6-B6</f>
        <v>#REF!</v>
      </c>
      <c r="E6" s="46" t="e">
        <f>D5-D6</f>
        <v>#REF!</v>
      </c>
    </row>
    <row r="7" spans="1:5" ht="15.75" thickBot="1" x14ac:dyDescent="0.3">
      <c r="A7" s="277"/>
      <c r="B7" s="312"/>
      <c r="C7" s="312"/>
      <c r="D7" s="312"/>
      <c r="E7" s="46"/>
    </row>
    <row r="8" spans="1:5" ht="15.75" thickBot="1" x14ac:dyDescent="0.3">
      <c r="A8" s="279" t="s">
        <v>271</v>
      </c>
      <c r="B8" s="312"/>
      <c r="C8" s="312"/>
      <c r="D8" s="312"/>
    </row>
    <row r="9" spans="1:5" ht="15.75" thickBot="1" x14ac:dyDescent="0.3">
      <c r="A9" s="280" t="s">
        <v>272</v>
      </c>
      <c r="B9" s="232"/>
      <c r="C9" s="313"/>
      <c r="D9" s="311" t="s">
        <v>14</v>
      </c>
    </row>
    <row r="10" spans="1:5" ht="15.75" thickBot="1" x14ac:dyDescent="0.3">
      <c r="A10" s="308" t="s">
        <v>273</v>
      </c>
      <c r="B10" s="314" t="e">
        <f>'BP (2)'!C26+'BP (2)'!C27+'BP (2)'!C28+'BP (2)'!C31+'BP (2)'!C32+'BP (2)'!C33</f>
        <v>#REF!</v>
      </c>
      <c r="C10" s="311" t="e">
        <f>'BP (2)'!D26+'BP (2)'!D28+'BP (2)'!D31+'BP (2)'!D33</f>
        <v>#REF!</v>
      </c>
      <c r="D10" s="311" t="e">
        <f>C10-B10</f>
        <v>#REF!</v>
      </c>
    </row>
    <row r="11" spans="1:5" ht="15.75" thickBot="1" x14ac:dyDescent="0.3">
      <c r="A11" s="280" t="s">
        <v>274</v>
      </c>
      <c r="B11" s="311"/>
      <c r="C11" s="311"/>
      <c r="D11" s="311">
        <f>C11-B11</f>
        <v>0</v>
      </c>
    </row>
    <row r="12" spans="1:5" ht="15.75" thickBot="1" x14ac:dyDescent="0.3">
      <c r="A12" s="280"/>
      <c r="B12" s="312"/>
      <c r="C12" s="312"/>
      <c r="D12" s="312"/>
    </row>
    <row r="13" spans="1:5" ht="15.75" thickBot="1" x14ac:dyDescent="0.3">
      <c r="A13" s="279" t="s">
        <v>275</v>
      </c>
      <c r="B13" s="312"/>
      <c r="C13" s="312"/>
      <c r="D13" s="312"/>
    </row>
    <row r="14" spans="1:5" ht="15.75" thickBot="1" x14ac:dyDescent="0.3">
      <c r="A14" s="277" t="s">
        <v>276</v>
      </c>
      <c r="B14" s="311" t="e">
        <f>-('BP (2)'!H14+'BP (2)'!H16)</f>
        <v>#REF!</v>
      </c>
      <c r="C14" s="311" t="e">
        <f>-('BP (2)'!I14+'BP (2)'!I16)</f>
        <v>#REF!</v>
      </c>
      <c r="D14" s="311" t="e">
        <f>C14-B14</f>
        <v>#REF!</v>
      </c>
    </row>
    <row r="15" spans="1:5" ht="15.75" thickBot="1" x14ac:dyDescent="0.3">
      <c r="A15" s="277" t="s">
        <v>277</v>
      </c>
      <c r="B15" s="311" t="e">
        <f>-('BP (2)'!H36+'BP (2)'!H39+'BP (2)'!H43+'BP (2)'!H46)</f>
        <v>#REF!</v>
      </c>
      <c r="C15" s="311" t="e">
        <f>-('BP (2)'!I36+'BP (2)'!I39+'BP (2)'!I43+'BP (2)'!I44+'BP (2)'!I46)</f>
        <v>#REF!</v>
      </c>
      <c r="D15" s="311" t="e">
        <f>C15-B15</f>
        <v>#REF!</v>
      </c>
    </row>
    <row r="16" spans="1:5" ht="15.75" thickBot="1" x14ac:dyDescent="0.3">
      <c r="A16" s="277" t="s">
        <v>278</v>
      </c>
      <c r="B16" s="311" t="e">
        <f>B3+B5+B6+B10+B14+B15</f>
        <v>#REF!</v>
      </c>
      <c r="C16" s="311" t="e">
        <f>C3+C5+C6+C10+C14+C15</f>
        <v>#REF!</v>
      </c>
      <c r="D16" s="311" t="e">
        <f>SUM(D3:D15)</f>
        <v>#REF!</v>
      </c>
    </row>
    <row r="23" spans="1:1" x14ac:dyDescent="0.25">
      <c r="A23" s="231" t="s">
        <v>279</v>
      </c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20" zoomScaleNormal="120" workbookViewId="0">
      <selection activeCell="B14" sqref="B14"/>
    </sheetView>
  </sheetViews>
  <sheetFormatPr defaultRowHeight="15" x14ac:dyDescent="0.25"/>
  <cols>
    <col min="1" max="1" width="54" style="231" customWidth="1"/>
    <col min="2" max="2" width="12.5703125" style="231" bestFit="1" customWidth="1"/>
    <col min="3" max="3" width="12.42578125" style="231" bestFit="1" customWidth="1"/>
    <col min="4" max="256" width="9.140625" style="231"/>
    <col min="257" max="257" width="54" style="231" customWidth="1"/>
    <col min="258" max="258" width="10" style="231" bestFit="1" customWidth="1"/>
    <col min="259" max="512" width="9.140625" style="231"/>
    <col min="513" max="513" width="54" style="231" customWidth="1"/>
    <col min="514" max="514" width="10" style="231" bestFit="1" customWidth="1"/>
    <col min="515" max="768" width="9.140625" style="231"/>
    <col min="769" max="769" width="54" style="231" customWidth="1"/>
    <col min="770" max="770" width="10" style="231" bestFit="1" customWidth="1"/>
    <col min="771" max="1024" width="9.140625" style="231"/>
    <col min="1025" max="1025" width="54" style="231" customWidth="1"/>
    <col min="1026" max="1026" width="10" style="231" bestFit="1" customWidth="1"/>
    <col min="1027" max="1280" width="9.140625" style="231"/>
    <col min="1281" max="1281" width="54" style="231" customWidth="1"/>
    <col min="1282" max="1282" width="10" style="231" bestFit="1" customWidth="1"/>
    <col min="1283" max="1536" width="9.140625" style="231"/>
    <col min="1537" max="1537" width="54" style="231" customWidth="1"/>
    <col min="1538" max="1538" width="10" style="231" bestFit="1" customWidth="1"/>
    <col min="1539" max="1792" width="9.140625" style="231"/>
    <col min="1793" max="1793" width="54" style="231" customWidth="1"/>
    <col min="1794" max="1794" width="10" style="231" bestFit="1" customWidth="1"/>
    <col min="1795" max="2048" width="9.140625" style="231"/>
    <col min="2049" max="2049" width="54" style="231" customWidth="1"/>
    <col min="2050" max="2050" width="10" style="231" bestFit="1" customWidth="1"/>
    <col min="2051" max="2304" width="9.140625" style="231"/>
    <col min="2305" max="2305" width="54" style="231" customWidth="1"/>
    <col min="2306" max="2306" width="10" style="231" bestFit="1" customWidth="1"/>
    <col min="2307" max="2560" width="9.140625" style="231"/>
    <col min="2561" max="2561" width="54" style="231" customWidth="1"/>
    <col min="2562" max="2562" width="10" style="231" bestFit="1" customWidth="1"/>
    <col min="2563" max="2816" width="9.140625" style="231"/>
    <col min="2817" max="2817" width="54" style="231" customWidth="1"/>
    <col min="2818" max="2818" width="10" style="231" bestFit="1" customWidth="1"/>
    <col min="2819" max="3072" width="9.140625" style="231"/>
    <col min="3073" max="3073" width="54" style="231" customWidth="1"/>
    <col min="3074" max="3074" width="10" style="231" bestFit="1" customWidth="1"/>
    <col min="3075" max="3328" width="9.140625" style="231"/>
    <col min="3329" max="3329" width="54" style="231" customWidth="1"/>
    <col min="3330" max="3330" width="10" style="231" bestFit="1" customWidth="1"/>
    <col min="3331" max="3584" width="9.140625" style="231"/>
    <col min="3585" max="3585" width="54" style="231" customWidth="1"/>
    <col min="3586" max="3586" width="10" style="231" bestFit="1" customWidth="1"/>
    <col min="3587" max="3840" width="9.140625" style="231"/>
    <col min="3841" max="3841" width="54" style="231" customWidth="1"/>
    <col min="3842" max="3842" width="10" style="231" bestFit="1" customWidth="1"/>
    <col min="3843" max="4096" width="9.140625" style="231"/>
    <col min="4097" max="4097" width="54" style="231" customWidth="1"/>
    <col min="4098" max="4098" width="10" style="231" bestFit="1" customWidth="1"/>
    <col min="4099" max="4352" width="9.140625" style="231"/>
    <col min="4353" max="4353" width="54" style="231" customWidth="1"/>
    <col min="4354" max="4354" width="10" style="231" bestFit="1" customWidth="1"/>
    <col min="4355" max="4608" width="9.140625" style="231"/>
    <col min="4609" max="4609" width="54" style="231" customWidth="1"/>
    <col min="4610" max="4610" width="10" style="231" bestFit="1" customWidth="1"/>
    <col min="4611" max="4864" width="9.140625" style="231"/>
    <col min="4865" max="4865" width="54" style="231" customWidth="1"/>
    <col min="4866" max="4866" width="10" style="231" bestFit="1" customWidth="1"/>
    <col min="4867" max="5120" width="9.140625" style="231"/>
    <col min="5121" max="5121" width="54" style="231" customWidth="1"/>
    <col min="5122" max="5122" width="10" style="231" bestFit="1" customWidth="1"/>
    <col min="5123" max="5376" width="9.140625" style="231"/>
    <col min="5377" max="5377" width="54" style="231" customWidth="1"/>
    <col min="5378" max="5378" width="10" style="231" bestFit="1" customWidth="1"/>
    <col min="5379" max="5632" width="9.140625" style="231"/>
    <col min="5633" max="5633" width="54" style="231" customWidth="1"/>
    <col min="5634" max="5634" width="10" style="231" bestFit="1" customWidth="1"/>
    <col min="5635" max="5888" width="9.140625" style="231"/>
    <col min="5889" max="5889" width="54" style="231" customWidth="1"/>
    <col min="5890" max="5890" width="10" style="231" bestFit="1" customWidth="1"/>
    <col min="5891" max="6144" width="9.140625" style="231"/>
    <col min="6145" max="6145" width="54" style="231" customWidth="1"/>
    <col min="6146" max="6146" width="10" style="231" bestFit="1" customWidth="1"/>
    <col min="6147" max="6400" width="9.140625" style="231"/>
    <col min="6401" max="6401" width="54" style="231" customWidth="1"/>
    <col min="6402" max="6402" width="10" style="231" bestFit="1" customWidth="1"/>
    <col min="6403" max="6656" width="9.140625" style="231"/>
    <col min="6657" max="6657" width="54" style="231" customWidth="1"/>
    <col min="6658" max="6658" width="10" style="231" bestFit="1" customWidth="1"/>
    <col min="6659" max="6912" width="9.140625" style="231"/>
    <col min="6913" max="6913" width="54" style="231" customWidth="1"/>
    <col min="6914" max="6914" width="10" style="231" bestFit="1" customWidth="1"/>
    <col min="6915" max="7168" width="9.140625" style="231"/>
    <col min="7169" max="7169" width="54" style="231" customWidth="1"/>
    <col min="7170" max="7170" width="10" style="231" bestFit="1" customWidth="1"/>
    <col min="7171" max="7424" width="9.140625" style="231"/>
    <col min="7425" max="7425" width="54" style="231" customWidth="1"/>
    <col min="7426" max="7426" width="10" style="231" bestFit="1" customWidth="1"/>
    <col min="7427" max="7680" width="9.140625" style="231"/>
    <col min="7681" max="7681" width="54" style="231" customWidth="1"/>
    <col min="7682" max="7682" width="10" style="231" bestFit="1" customWidth="1"/>
    <col min="7683" max="7936" width="9.140625" style="231"/>
    <col min="7937" max="7937" width="54" style="231" customWidth="1"/>
    <col min="7938" max="7938" width="10" style="231" bestFit="1" customWidth="1"/>
    <col min="7939" max="8192" width="9.140625" style="231"/>
    <col min="8193" max="8193" width="54" style="231" customWidth="1"/>
    <col min="8194" max="8194" width="10" style="231" bestFit="1" customWidth="1"/>
    <col min="8195" max="8448" width="9.140625" style="231"/>
    <col min="8449" max="8449" width="54" style="231" customWidth="1"/>
    <col min="8450" max="8450" width="10" style="231" bestFit="1" customWidth="1"/>
    <col min="8451" max="8704" width="9.140625" style="231"/>
    <col min="8705" max="8705" width="54" style="231" customWidth="1"/>
    <col min="8706" max="8706" width="10" style="231" bestFit="1" customWidth="1"/>
    <col min="8707" max="8960" width="9.140625" style="231"/>
    <col min="8961" max="8961" width="54" style="231" customWidth="1"/>
    <col min="8962" max="8962" width="10" style="231" bestFit="1" customWidth="1"/>
    <col min="8963" max="9216" width="9.140625" style="231"/>
    <col min="9217" max="9217" width="54" style="231" customWidth="1"/>
    <col min="9218" max="9218" width="10" style="231" bestFit="1" customWidth="1"/>
    <col min="9219" max="9472" width="9.140625" style="231"/>
    <col min="9473" max="9473" width="54" style="231" customWidth="1"/>
    <col min="9474" max="9474" width="10" style="231" bestFit="1" customWidth="1"/>
    <col min="9475" max="9728" width="9.140625" style="231"/>
    <col min="9729" max="9729" width="54" style="231" customWidth="1"/>
    <col min="9730" max="9730" width="10" style="231" bestFit="1" customWidth="1"/>
    <col min="9731" max="9984" width="9.140625" style="231"/>
    <col min="9985" max="9985" width="54" style="231" customWidth="1"/>
    <col min="9986" max="9986" width="10" style="231" bestFit="1" customWidth="1"/>
    <col min="9987" max="10240" width="9.140625" style="231"/>
    <col min="10241" max="10241" width="54" style="231" customWidth="1"/>
    <col min="10242" max="10242" width="10" style="231" bestFit="1" customWidth="1"/>
    <col min="10243" max="10496" width="9.140625" style="231"/>
    <col min="10497" max="10497" width="54" style="231" customWidth="1"/>
    <col min="10498" max="10498" width="10" style="231" bestFit="1" customWidth="1"/>
    <col min="10499" max="10752" width="9.140625" style="231"/>
    <col min="10753" max="10753" width="54" style="231" customWidth="1"/>
    <col min="10754" max="10754" width="10" style="231" bestFit="1" customWidth="1"/>
    <col min="10755" max="11008" width="9.140625" style="231"/>
    <col min="11009" max="11009" width="54" style="231" customWidth="1"/>
    <col min="11010" max="11010" width="10" style="231" bestFit="1" customWidth="1"/>
    <col min="11011" max="11264" width="9.140625" style="231"/>
    <col min="11265" max="11265" width="54" style="231" customWidth="1"/>
    <col min="11266" max="11266" width="10" style="231" bestFit="1" customWidth="1"/>
    <col min="11267" max="11520" width="9.140625" style="231"/>
    <col min="11521" max="11521" width="54" style="231" customWidth="1"/>
    <col min="11522" max="11522" width="10" style="231" bestFit="1" customWidth="1"/>
    <col min="11523" max="11776" width="9.140625" style="231"/>
    <col min="11777" max="11777" width="54" style="231" customWidth="1"/>
    <col min="11778" max="11778" width="10" style="231" bestFit="1" customWidth="1"/>
    <col min="11779" max="12032" width="9.140625" style="231"/>
    <col min="12033" max="12033" width="54" style="231" customWidth="1"/>
    <col min="12034" max="12034" width="10" style="231" bestFit="1" customWidth="1"/>
    <col min="12035" max="12288" width="9.140625" style="231"/>
    <col min="12289" max="12289" width="54" style="231" customWidth="1"/>
    <col min="12290" max="12290" width="10" style="231" bestFit="1" customWidth="1"/>
    <col min="12291" max="12544" width="9.140625" style="231"/>
    <col min="12545" max="12545" width="54" style="231" customWidth="1"/>
    <col min="12546" max="12546" width="10" style="231" bestFit="1" customWidth="1"/>
    <col min="12547" max="12800" width="9.140625" style="231"/>
    <col min="12801" max="12801" width="54" style="231" customWidth="1"/>
    <col min="12802" max="12802" width="10" style="231" bestFit="1" customWidth="1"/>
    <col min="12803" max="13056" width="9.140625" style="231"/>
    <col min="13057" max="13057" width="54" style="231" customWidth="1"/>
    <col min="13058" max="13058" width="10" style="231" bestFit="1" customWidth="1"/>
    <col min="13059" max="13312" width="9.140625" style="231"/>
    <col min="13313" max="13313" width="54" style="231" customWidth="1"/>
    <col min="13314" max="13314" width="10" style="231" bestFit="1" customWidth="1"/>
    <col min="13315" max="13568" width="9.140625" style="231"/>
    <col min="13569" max="13569" width="54" style="231" customWidth="1"/>
    <col min="13570" max="13570" width="10" style="231" bestFit="1" customWidth="1"/>
    <col min="13571" max="13824" width="9.140625" style="231"/>
    <col min="13825" max="13825" width="54" style="231" customWidth="1"/>
    <col min="13826" max="13826" width="10" style="231" bestFit="1" customWidth="1"/>
    <col min="13827" max="14080" width="9.140625" style="231"/>
    <col min="14081" max="14081" width="54" style="231" customWidth="1"/>
    <col min="14082" max="14082" width="10" style="231" bestFit="1" customWidth="1"/>
    <col min="14083" max="14336" width="9.140625" style="231"/>
    <col min="14337" max="14337" width="54" style="231" customWidth="1"/>
    <col min="14338" max="14338" width="10" style="231" bestFit="1" customWidth="1"/>
    <col min="14339" max="14592" width="9.140625" style="231"/>
    <col min="14593" max="14593" width="54" style="231" customWidth="1"/>
    <col min="14594" max="14594" width="10" style="231" bestFit="1" customWidth="1"/>
    <col min="14595" max="14848" width="9.140625" style="231"/>
    <col min="14849" max="14849" width="54" style="231" customWidth="1"/>
    <col min="14850" max="14850" width="10" style="231" bestFit="1" customWidth="1"/>
    <col min="14851" max="15104" width="9.140625" style="231"/>
    <col min="15105" max="15105" width="54" style="231" customWidth="1"/>
    <col min="15106" max="15106" width="10" style="231" bestFit="1" customWidth="1"/>
    <col min="15107" max="15360" width="9.140625" style="231"/>
    <col min="15361" max="15361" width="54" style="231" customWidth="1"/>
    <col min="15362" max="15362" width="10" style="231" bestFit="1" customWidth="1"/>
    <col min="15363" max="15616" width="9.140625" style="231"/>
    <col min="15617" max="15617" width="54" style="231" customWidth="1"/>
    <col min="15618" max="15618" width="10" style="231" bestFit="1" customWidth="1"/>
    <col min="15619" max="15872" width="9.140625" style="231"/>
    <col min="15873" max="15873" width="54" style="231" customWidth="1"/>
    <col min="15874" max="15874" width="10" style="231" bestFit="1" customWidth="1"/>
    <col min="15875" max="16128" width="9.140625" style="231"/>
    <col min="16129" max="16129" width="54" style="231" customWidth="1"/>
    <col min="16130" max="16130" width="10" style="231" bestFit="1" customWidth="1"/>
    <col min="16131" max="16384" width="9.140625" style="231"/>
  </cols>
  <sheetData>
    <row r="1" spans="1:3" ht="15.75" thickBot="1" x14ac:dyDescent="0.3">
      <c r="A1" s="281" t="s">
        <v>280</v>
      </c>
      <c r="B1" s="282" t="s">
        <v>281</v>
      </c>
      <c r="C1" s="282" t="s">
        <v>282</v>
      </c>
    </row>
    <row r="2" spans="1:3" ht="15.75" thickBot="1" x14ac:dyDescent="0.3">
      <c r="A2" s="276" t="s">
        <v>283</v>
      </c>
      <c r="B2" s="315"/>
      <c r="C2" s="315"/>
    </row>
    <row r="3" spans="1:3" ht="15.75" thickBot="1" x14ac:dyDescent="0.3">
      <c r="A3" s="284" t="s">
        <v>131</v>
      </c>
      <c r="B3" s="311"/>
      <c r="C3" s="316" t="e">
        <f>'BP (2)'!E10</f>
        <v>#REF!</v>
      </c>
    </row>
    <row r="4" spans="1:3" ht="15.75" thickBot="1" x14ac:dyDescent="0.3">
      <c r="A4" s="284" t="s">
        <v>130</v>
      </c>
      <c r="B4" s="311"/>
      <c r="C4" s="316" t="e">
        <f>'BP (2)'!E12</f>
        <v>#REF!</v>
      </c>
    </row>
    <row r="5" spans="1:3" ht="15.75" thickBot="1" x14ac:dyDescent="0.3">
      <c r="A5" s="284" t="s">
        <v>235</v>
      </c>
      <c r="B5" s="311"/>
      <c r="C5" s="316" t="e">
        <f>-('BP (2)'!E14)</f>
        <v>#REF!</v>
      </c>
    </row>
    <row r="6" spans="1:3" ht="15.75" thickBot="1" x14ac:dyDescent="0.3">
      <c r="A6" s="249" t="s">
        <v>207</v>
      </c>
      <c r="B6" s="311"/>
      <c r="C6" s="316" t="e">
        <f>'BP (2)'!E16</f>
        <v>#REF!</v>
      </c>
    </row>
    <row r="7" spans="1:3" ht="15.75" thickBot="1" x14ac:dyDescent="0.3">
      <c r="A7" s="249" t="s">
        <v>351</v>
      </c>
      <c r="B7" s="311"/>
      <c r="C7" s="316" t="e">
        <f>-('BP (2)'!E17)</f>
        <v>#REF!</v>
      </c>
    </row>
    <row r="8" spans="1:3" ht="15.75" thickBot="1" x14ac:dyDescent="0.3">
      <c r="A8" s="250" t="s">
        <v>345</v>
      </c>
      <c r="B8" s="311"/>
      <c r="C8" s="316" t="e">
        <f>'BP (2)'!E18</f>
        <v>#REF!</v>
      </c>
    </row>
    <row r="9" spans="1:3" ht="15.75" thickBot="1" x14ac:dyDescent="0.3">
      <c r="A9" s="249" t="s">
        <v>348</v>
      </c>
      <c r="B9" s="311"/>
      <c r="C9" s="316" t="e">
        <f>'BP (2)'!E11</f>
        <v>#REF!</v>
      </c>
    </row>
    <row r="10" spans="1:3" ht="15.75" thickBot="1" x14ac:dyDescent="0.3">
      <c r="A10" s="318" t="s">
        <v>347</v>
      </c>
      <c r="B10" s="311"/>
      <c r="C10" s="316" t="e">
        <f>'BP (2)'!E40+'BP (2)'!E41+'BP (2)'!E42</f>
        <v>#REF!</v>
      </c>
    </row>
    <row r="11" spans="1:3" ht="15.75" thickBot="1" x14ac:dyDescent="0.3">
      <c r="A11" s="318" t="s">
        <v>356</v>
      </c>
      <c r="B11" s="311"/>
      <c r="C11" s="316" t="e">
        <f>-('BP (2)'!E15)</f>
        <v>#REF!</v>
      </c>
    </row>
    <row r="12" spans="1:3" ht="15.75" thickBot="1" x14ac:dyDescent="0.3">
      <c r="A12" s="284" t="s">
        <v>355</v>
      </c>
      <c r="B12" s="311" t="e">
        <f>'BP (2)'!J9</f>
        <v>#REF!</v>
      </c>
      <c r="C12" s="316"/>
    </row>
    <row r="13" spans="1:3" ht="15.75" thickBot="1" x14ac:dyDescent="0.3">
      <c r="A13" s="284" t="s">
        <v>137</v>
      </c>
      <c r="B13" s="316" t="e">
        <f>'BP (2)'!J15</f>
        <v>#REF!</v>
      </c>
      <c r="C13" s="311"/>
    </row>
    <row r="14" spans="1:3" ht="15.75" thickBot="1" x14ac:dyDescent="0.3">
      <c r="A14" s="284" t="s">
        <v>125</v>
      </c>
      <c r="B14" s="316" t="e">
        <f>-('BP (2)'!J10)</f>
        <v>#REF!</v>
      </c>
      <c r="C14" s="311"/>
    </row>
    <row r="15" spans="1:3" ht="15.75" thickBot="1" x14ac:dyDescent="0.3">
      <c r="A15" s="284" t="s">
        <v>233</v>
      </c>
      <c r="B15" s="316" t="e">
        <f>-('BP (2)'!J12)</f>
        <v>#REF!</v>
      </c>
      <c r="C15" s="311"/>
    </row>
    <row r="16" spans="1:3" ht="15.75" thickBot="1" x14ac:dyDescent="0.3">
      <c r="A16" s="284" t="s">
        <v>234</v>
      </c>
      <c r="B16" s="316" t="e">
        <f>'BP (2)'!J13</f>
        <v>#REF!</v>
      </c>
      <c r="C16" s="311"/>
    </row>
    <row r="17" spans="1:4" ht="15.75" thickBot="1" x14ac:dyDescent="0.3">
      <c r="A17" s="287" t="s">
        <v>284</v>
      </c>
      <c r="B17" s="722" t="e">
        <f>SUM(B3:B16)+SUM(C3:C16)</f>
        <v>#REF!</v>
      </c>
      <c r="C17" s="723"/>
      <c r="D17" s="46"/>
    </row>
    <row r="18" spans="1:4" ht="15.75" thickBot="1" x14ac:dyDescent="0.3">
      <c r="A18" s="276" t="s">
        <v>285</v>
      </c>
      <c r="B18" s="315"/>
      <c r="C18" s="315"/>
    </row>
    <row r="19" spans="1:4" ht="15.75" thickBot="1" x14ac:dyDescent="0.3">
      <c r="A19" s="277" t="s">
        <v>286</v>
      </c>
      <c r="B19" s="311"/>
      <c r="C19" s="311"/>
    </row>
    <row r="20" spans="1:4" ht="15.75" thickBot="1" x14ac:dyDescent="0.3">
      <c r="A20" s="280" t="s">
        <v>287</v>
      </c>
      <c r="B20" s="312"/>
      <c r="C20" s="316"/>
    </row>
    <row r="21" spans="1:4" ht="15.75" thickBot="1" x14ac:dyDescent="0.3">
      <c r="A21" s="280" t="s">
        <v>288</v>
      </c>
      <c r="B21" s="316"/>
      <c r="C21" s="312"/>
    </row>
    <row r="22" spans="1:4" ht="15.75" thickBot="1" x14ac:dyDescent="0.3">
      <c r="A22" s="280" t="s">
        <v>289</v>
      </c>
      <c r="B22" s="316"/>
      <c r="C22" s="312"/>
    </row>
    <row r="23" spans="1:4" ht="15.75" thickBot="1" x14ac:dyDescent="0.3">
      <c r="A23" s="288" t="s">
        <v>290</v>
      </c>
      <c r="B23" s="724">
        <f>SUM(B19:B22)+SUM(C19:C22)</f>
        <v>0</v>
      </c>
      <c r="C23" s="725"/>
    </row>
    <row r="24" spans="1:4" ht="15.75" thickBot="1" x14ac:dyDescent="0.3">
      <c r="A24" s="277" t="s">
        <v>291</v>
      </c>
      <c r="B24" s="312"/>
      <c r="C24" s="312"/>
    </row>
    <row r="25" spans="1:4" ht="15.75" thickBot="1" x14ac:dyDescent="0.3">
      <c r="A25" s="277" t="s">
        <v>292</v>
      </c>
      <c r="B25" s="312"/>
      <c r="C25" s="316"/>
    </row>
    <row r="26" spans="1:4" ht="15.75" thickBot="1" x14ac:dyDescent="0.3">
      <c r="A26" s="277" t="s">
        <v>293</v>
      </c>
      <c r="B26" s="316"/>
      <c r="C26" s="312"/>
    </row>
    <row r="27" spans="1:4" ht="15.75" thickBot="1" x14ac:dyDescent="0.3">
      <c r="A27" s="289" t="s">
        <v>294</v>
      </c>
      <c r="B27" s="724">
        <f>SUM(B24:B26)+SUM(C24:C26)</f>
        <v>0</v>
      </c>
      <c r="C27" s="725"/>
    </row>
    <row r="28" spans="1:4" ht="15.75" thickBot="1" x14ac:dyDescent="0.3">
      <c r="A28" s="276" t="s">
        <v>295</v>
      </c>
      <c r="B28" s="315"/>
      <c r="C28" s="315"/>
    </row>
    <row r="29" spans="1:4" ht="15.75" thickBot="1" x14ac:dyDescent="0.3">
      <c r="A29" s="290" t="s">
        <v>296</v>
      </c>
      <c r="B29" s="312"/>
      <c r="C29" s="312"/>
    </row>
    <row r="30" spans="1:4" ht="15.75" thickBot="1" x14ac:dyDescent="0.3">
      <c r="A30" s="277" t="s">
        <v>297</v>
      </c>
      <c r="B30" s="316"/>
      <c r="C30" s="312"/>
    </row>
    <row r="31" spans="1:4" ht="15.75" thickBot="1" x14ac:dyDescent="0.3">
      <c r="A31" s="277" t="s">
        <v>298</v>
      </c>
      <c r="B31" s="316"/>
      <c r="C31" s="312"/>
    </row>
    <row r="32" spans="1:4" ht="15.75" thickBot="1" x14ac:dyDescent="0.3">
      <c r="A32" s="291" t="s">
        <v>299</v>
      </c>
      <c r="B32" s="311"/>
      <c r="C32" s="317"/>
    </row>
    <row r="33" spans="1:3" ht="15.75" thickBot="1" x14ac:dyDescent="0.3">
      <c r="A33" s="277" t="s">
        <v>300</v>
      </c>
      <c r="B33" s="312"/>
      <c r="C33" s="316"/>
    </row>
    <row r="34" spans="1:3" ht="15.75" thickBot="1" x14ac:dyDescent="0.3">
      <c r="A34" s="277" t="s">
        <v>301</v>
      </c>
      <c r="B34" s="316"/>
      <c r="C34" s="312"/>
    </row>
    <row r="35" spans="1:3" ht="15.75" thickBot="1" x14ac:dyDescent="0.3">
      <c r="A35" s="289" t="s">
        <v>294</v>
      </c>
      <c r="B35" s="724">
        <f>SUM(B29:B34)+SUM(C29:C34)</f>
        <v>0</v>
      </c>
      <c r="C35" s="725"/>
    </row>
    <row r="36" spans="1:3" ht="15.75" thickBot="1" x14ac:dyDescent="0.3">
      <c r="A36" s="290" t="s">
        <v>252</v>
      </c>
      <c r="B36" s="312"/>
      <c r="C36" s="312"/>
    </row>
    <row r="37" spans="1:3" ht="15.75" thickBot="1" x14ac:dyDescent="0.3">
      <c r="A37" s="277" t="s">
        <v>302</v>
      </c>
      <c r="B37" s="316"/>
      <c r="C37" s="312"/>
    </row>
    <row r="38" spans="1:3" ht="15.75" thickBot="1" x14ac:dyDescent="0.3">
      <c r="A38" s="277" t="s">
        <v>303</v>
      </c>
      <c r="B38" s="316"/>
      <c r="C38" s="312"/>
    </row>
    <row r="39" spans="1:3" ht="15.75" thickBot="1" x14ac:dyDescent="0.3">
      <c r="A39" s="277" t="s">
        <v>304</v>
      </c>
      <c r="B39" s="312"/>
      <c r="C39" s="316"/>
    </row>
    <row r="40" spans="1:3" ht="15.75" thickBot="1" x14ac:dyDescent="0.3">
      <c r="A40" s="289" t="s">
        <v>305</v>
      </c>
      <c r="B40" s="724">
        <f>SUM(B36:B39)+SUM(C36:C39)</f>
        <v>0</v>
      </c>
      <c r="C40" s="725"/>
    </row>
    <row r="41" spans="1:3" ht="15.75" thickBot="1" x14ac:dyDescent="0.3">
      <c r="A41" s="293" t="s">
        <v>306</v>
      </c>
      <c r="B41" s="720" t="e">
        <f>B17+B23+B27+B35+B40</f>
        <v>#REF!</v>
      </c>
      <c r="C41" s="721"/>
    </row>
  </sheetData>
  <mergeCells count="6">
    <mergeCell ref="B41:C41"/>
    <mergeCell ref="B17:C17"/>
    <mergeCell ref="B23:C23"/>
    <mergeCell ref="B27:C27"/>
    <mergeCell ref="B35:C35"/>
    <mergeCell ref="B40:C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="120" zoomScaleNormal="120" workbookViewId="0">
      <selection activeCell="A35" sqref="A35"/>
    </sheetView>
  </sheetViews>
  <sheetFormatPr defaultRowHeight="15" x14ac:dyDescent="0.25"/>
  <cols>
    <col min="1" max="1" width="48.85546875" style="231" customWidth="1"/>
    <col min="2" max="2" width="10" style="231" bestFit="1" customWidth="1"/>
    <col min="3" max="256" width="9.140625" style="231"/>
    <col min="257" max="257" width="48.85546875" style="231" customWidth="1"/>
    <col min="258" max="258" width="10" style="231" bestFit="1" customWidth="1"/>
    <col min="259" max="512" width="9.140625" style="231"/>
    <col min="513" max="513" width="48.85546875" style="231" customWidth="1"/>
    <col min="514" max="514" width="10" style="231" bestFit="1" customWidth="1"/>
    <col min="515" max="768" width="9.140625" style="231"/>
    <col min="769" max="769" width="48.85546875" style="231" customWidth="1"/>
    <col min="770" max="770" width="10" style="231" bestFit="1" customWidth="1"/>
    <col min="771" max="1024" width="9.140625" style="231"/>
    <col min="1025" max="1025" width="48.85546875" style="231" customWidth="1"/>
    <col min="1026" max="1026" width="10" style="231" bestFit="1" customWidth="1"/>
    <col min="1027" max="1280" width="9.140625" style="231"/>
    <col min="1281" max="1281" width="48.85546875" style="231" customWidth="1"/>
    <col min="1282" max="1282" width="10" style="231" bestFit="1" customWidth="1"/>
    <col min="1283" max="1536" width="9.140625" style="231"/>
    <col min="1537" max="1537" width="48.85546875" style="231" customWidth="1"/>
    <col min="1538" max="1538" width="10" style="231" bestFit="1" customWidth="1"/>
    <col min="1539" max="1792" width="9.140625" style="231"/>
    <col min="1793" max="1793" width="48.85546875" style="231" customWidth="1"/>
    <col min="1794" max="1794" width="10" style="231" bestFit="1" customWidth="1"/>
    <col min="1795" max="2048" width="9.140625" style="231"/>
    <col min="2049" max="2049" width="48.85546875" style="231" customWidth="1"/>
    <col min="2050" max="2050" width="10" style="231" bestFit="1" customWidth="1"/>
    <col min="2051" max="2304" width="9.140625" style="231"/>
    <col min="2305" max="2305" width="48.85546875" style="231" customWidth="1"/>
    <col min="2306" max="2306" width="10" style="231" bestFit="1" customWidth="1"/>
    <col min="2307" max="2560" width="9.140625" style="231"/>
    <col min="2561" max="2561" width="48.85546875" style="231" customWidth="1"/>
    <col min="2562" max="2562" width="10" style="231" bestFit="1" customWidth="1"/>
    <col min="2563" max="2816" width="9.140625" style="231"/>
    <col min="2817" max="2817" width="48.85546875" style="231" customWidth="1"/>
    <col min="2818" max="2818" width="10" style="231" bestFit="1" customWidth="1"/>
    <col min="2819" max="3072" width="9.140625" style="231"/>
    <col min="3073" max="3073" width="48.85546875" style="231" customWidth="1"/>
    <col min="3074" max="3074" width="10" style="231" bestFit="1" customWidth="1"/>
    <col min="3075" max="3328" width="9.140625" style="231"/>
    <col min="3329" max="3329" width="48.85546875" style="231" customWidth="1"/>
    <col min="3330" max="3330" width="10" style="231" bestFit="1" customWidth="1"/>
    <col min="3331" max="3584" width="9.140625" style="231"/>
    <col min="3585" max="3585" width="48.85546875" style="231" customWidth="1"/>
    <col min="3586" max="3586" width="10" style="231" bestFit="1" customWidth="1"/>
    <col min="3587" max="3840" width="9.140625" style="231"/>
    <col min="3841" max="3841" width="48.85546875" style="231" customWidth="1"/>
    <col min="3842" max="3842" width="10" style="231" bestFit="1" customWidth="1"/>
    <col min="3843" max="4096" width="9.140625" style="231"/>
    <col min="4097" max="4097" width="48.85546875" style="231" customWidth="1"/>
    <col min="4098" max="4098" width="10" style="231" bestFit="1" customWidth="1"/>
    <col min="4099" max="4352" width="9.140625" style="231"/>
    <col min="4353" max="4353" width="48.85546875" style="231" customWidth="1"/>
    <col min="4354" max="4354" width="10" style="231" bestFit="1" customWidth="1"/>
    <col min="4355" max="4608" width="9.140625" style="231"/>
    <col min="4609" max="4609" width="48.85546875" style="231" customWidth="1"/>
    <col min="4610" max="4610" width="10" style="231" bestFit="1" customWidth="1"/>
    <col min="4611" max="4864" width="9.140625" style="231"/>
    <col min="4865" max="4865" width="48.85546875" style="231" customWidth="1"/>
    <col min="4866" max="4866" width="10" style="231" bestFit="1" customWidth="1"/>
    <col min="4867" max="5120" width="9.140625" style="231"/>
    <col min="5121" max="5121" width="48.85546875" style="231" customWidth="1"/>
    <col min="5122" max="5122" width="10" style="231" bestFit="1" customWidth="1"/>
    <col min="5123" max="5376" width="9.140625" style="231"/>
    <col min="5377" max="5377" width="48.85546875" style="231" customWidth="1"/>
    <col min="5378" max="5378" width="10" style="231" bestFit="1" customWidth="1"/>
    <col min="5379" max="5632" width="9.140625" style="231"/>
    <col min="5633" max="5633" width="48.85546875" style="231" customWidth="1"/>
    <col min="5634" max="5634" width="10" style="231" bestFit="1" customWidth="1"/>
    <col min="5635" max="5888" width="9.140625" style="231"/>
    <col min="5889" max="5889" width="48.85546875" style="231" customWidth="1"/>
    <col min="5890" max="5890" width="10" style="231" bestFit="1" customWidth="1"/>
    <col min="5891" max="6144" width="9.140625" style="231"/>
    <col min="6145" max="6145" width="48.85546875" style="231" customWidth="1"/>
    <col min="6146" max="6146" width="10" style="231" bestFit="1" customWidth="1"/>
    <col min="6147" max="6400" width="9.140625" style="231"/>
    <col min="6401" max="6401" width="48.85546875" style="231" customWidth="1"/>
    <col min="6402" max="6402" width="10" style="231" bestFit="1" customWidth="1"/>
    <col min="6403" max="6656" width="9.140625" style="231"/>
    <col min="6657" max="6657" width="48.85546875" style="231" customWidth="1"/>
    <col min="6658" max="6658" width="10" style="231" bestFit="1" customWidth="1"/>
    <col min="6659" max="6912" width="9.140625" style="231"/>
    <col min="6913" max="6913" width="48.85546875" style="231" customWidth="1"/>
    <col min="6914" max="6914" width="10" style="231" bestFit="1" customWidth="1"/>
    <col min="6915" max="7168" width="9.140625" style="231"/>
    <col min="7169" max="7169" width="48.85546875" style="231" customWidth="1"/>
    <col min="7170" max="7170" width="10" style="231" bestFit="1" customWidth="1"/>
    <col min="7171" max="7424" width="9.140625" style="231"/>
    <col min="7425" max="7425" width="48.85546875" style="231" customWidth="1"/>
    <col min="7426" max="7426" width="10" style="231" bestFit="1" customWidth="1"/>
    <col min="7427" max="7680" width="9.140625" style="231"/>
    <col min="7681" max="7681" width="48.85546875" style="231" customWidth="1"/>
    <col min="7682" max="7682" width="10" style="231" bestFit="1" customWidth="1"/>
    <col min="7683" max="7936" width="9.140625" style="231"/>
    <col min="7937" max="7937" width="48.85546875" style="231" customWidth="1"/>
    <col min="7938" max="7938" width="10" style="231" bestFit="1" customWidth="1"/>
    <col min="7939" max="8192" width="9.140625" style="231"/>
    <col min="8193" max="8193" width="48.85546875" style="231" customWidth="1"/>
    <col min="8194" max="8194" width="10" style="231" bestFit="1" customWidth="1"/>
    <col min="8195" max="8448" width="9.140625" style="231"/>
    <col min="8449" max="8449" width="48.85546875" style="231" customWidth="1"/>
    <col min="8450" max="8450" width="10" style="231" bestFit="1" customWidth="1"/>
    <col min="8451" max="8704" width="9.140625" style="231"/>
    <col min="8705" max="8705" width="48.85546875" style="231" customWidth="1"/>
    <col min="8706" max="8706" width="10" style="231" bestFit="1" customWidth="1"/>
    <col min="8707" max="8960" width="9.140625" style="231"/>
    <col min="8961" max="8961" width="48.85546875" style="231" customWidth="1"/>
    <col min="8962" max="8962" width="10" style="231" bestFit="1" customWidth="1"/>
    <col min="8963" max="9216" width="9.140625" style="231"/>
    <col min="9217" max="9217" width="48.85546875" style="231" customWidth="1"/>
    <col min="9218" max="9218" width="10" style="231" bestFit="1" customWidth="1"/>
    <col min="9219" max="9472" width="9.140625" style="231"/>
    <col min="9473" max="9473" width="48.85546875" style="231" customWidth="1"/>
    <col min="9474" max="9474" width="10" style="231" bestFit="1" customWidth="1"/>
    <col min="9475" max="9728" width="9.140625" style="231"/>
    <col min="9729" max="9729" width="48.85546875" style="231" customWidth="1"/>
    <col min="9730" max="9730" width="10" style="231" bestFit="1" customWidth="1"/>
    <col min="9731" max="9984" width="9.140625" style="231"/>
    <col min="9985" max="9985" width="48.85546875" style="231" customWidth="1"/>
    <col min="9986" max="9986" width="10" style="231" bestFit="1" customWidth="1"/>
    <col min="9987" max="10240" width="9.140625" style="231"/>
    <col min="10241" max="10241" width="48.85546875" style="231" customWidth="1"/>
    <col min="10242" max="10242" width="10" style="231" bestFit="1" customWidth="1"/>
    <col min="10243" max="10496" width="9.140625" style="231"/>
    <col min="10497" max="10497" width="48.85546875" style="231" customWidth="1"/>
    <col min="10498" max="10498" width="10" style="231" bestFit="1" customWidth="1"/>
    <col min="10499" max="10752" width="9.140625" style="231"/>
    <col min="10753" max="10753" width="48.85546875" style="231" customWidth="1"/>
    <col min="10754" max="10754" width="10" style="231" bestFit="1" customWidth="1"/>
    <col min="10755" max="11008" width="9.140625" style="231"/>
    <col min="11009" max="11009" width="48.85546875" style="231" customWidth="1"/>
    <col min="11010" max="11010" width="10" style="231" bestFit="1" customWidth="1"/>
    <col min="11011" max="11264" width="9.140625" style="231"/>
    <col min="11265" max="11265" width="48.85546875" style="231" customWidth="1"/>
    <col min="11266" max="11266" width="10" style="231" bestFit="1" customWidth="1"/>
    <col min="11267" max="11520" width="9.140625" style="231"/>
    <col min="11521" max="11521" width="48.85546875" style="231" customWidth="1"/>
    <col min="11522" max="11522" width="10" style="231" bestFit="1" customWidth="1"/>
    <col min="11523" max="11776" width="9.140625" style="231"/>
    <col min="11777" max="11777" width="48.85546875" style="231" customWidth="1"/>
    <col min="11778" max="11778" width="10" style="231" bestFit="1" customWidth="1"/>
    <col min="11779" max="12032" width="9.140625" style="231"/>
    <col min="12033" max="12033" width="48.85546875" style="231" customWidth="1"/>
    <col min="12034" max="12034" width="10" style="231" bestFit="1" customWidth="1"/>
    <col min="12035" max="12288" width="9.140625" style="231"/>
    <col min="12289" max="12289" width="48.85546875" style="231" customWidth="1"/>
    <col min="12290" max="12290" width="10" style="231" bestFit="1" customWidth="1"/>
    <col min="12291" max="12544" width="9.140625" style="231"/>
    <col min="12545" max="12545" width="48.85546875" style="231" customWidth="1"/>
    <col min="12546" max="12546" width="10" style="231" bestFit="1" customWidth="1"/>
    <col min="12547" max="12800" width="9.140625" style="231"/>
    <col min="12801" max="12801" width="48.85546875" style="231" customWidth="1"/>
    <col min="12802" max="12802" width="10" style="231" bestFit="1" customWidth="1"/>
    <col min="12803" max="13056" width="9.140625" style="231"/>
    <col min="13057" max="13057" width="48.85546875" style="231" customWidth="1"/>
    <col min="13058" max="13058" width="10" style="231" bestFit="1" customWidth="1"/>
    <col min="13059" max="13312" width="9.140625" style="231"/>
    <col min="13313" max="13313" width="48.85546875" style="231" customWidth="1"/>
    <col min="13314" max="13314" width="10" style="231" bestFit="1" customWidth="1"/>
    <col min="13315" max="13568" width="9.140625" style="231"/>
    <col min="13569" max="13569" width="48.85546875" style="231" customWidth="1"/>
    <col min="13570" max="13570" width="10" style="231" bestFit="1" customWidth="1"/>
    <col min="13571" max="13824" width="9.140625" style="231"/>
    <col min="13825" max="13825" width="48.85546875" style="231" customWidth="1"/>
    <col min="13826" max="13826" width="10" style="231" bestFit="1" customWidth="1"/>
    <col min="13827" max="14080" width="9.140625" style="231"/>
    <col min="14081" max="14081" width="48.85546875" style="231" customWidth="1"/>
    <col min="14082" max="14082" width="10" style="231" bestFit="1" customWidth="1"/>
    <col min="14083" max="14336" width="9.140625" style="231"/>
    <col min="14337" max="14337" width="48.85546875" style="231" customWidth="1"/>
    <col min="14338" max="14338" width="10" style="231" bestFit="1" customWidth="1"/>
    <col min="14339" max="14592" width="9.140625" style="231"/>
    <col min="14593" max="14593" width="48.85546875" style="231" customWidth="1"/>
    <col min="14594" max="14594" width="10" style="231" bestFit="1" customWidth="1"/>
    <col min="14595" max="14848" width="9.140625" style="231"/>
    <col min="14849" max="14849" width="48.85546875" style="231" customWidth="1"/>
    <col min="14850" max="14850" width="10" style="231" bestFit="1" customWidth="1"/>
    <col min="14851" max="15104" width="9.140625" style="231"/>
    <col min="15105" max="15105" width="48.85546875" style="231" customWidth="1"/>
    <col min="15106" max="15106" width="10" style="231" bestFit="1" customWidth="1"/>
    <col min="15107" max="15360" width="9.140625" style="231"/>
    <col min="15361" max="15361" width="48.85546875" style="231" customWidth="1"/>
    <col min="15362" max="15362" width="10" style="231" bestFit="1" customWidth="1"/>
    <col min="15363" max="15616" width="9.140625" style="231"/>
    <col min="15617" max="15617" width="48.85546875" style="231" customWidth="1"/>
    <col min="15618" max="15618" width="10" style="231" bestFit="1" customWidth="1"/>
    <col min="15619" max="15872" width="9.140625" style="231"/>
    <col min="15873" max="15873" width="48.85546875" style="231" customWidth="1"/>
    <col min="15874" max="15874" width="10" style="231" bestFit="1" customWidth="1"/>
    <col min="15875" max="16128" width="9.140625" style="231"/>
    <col min="16129" max="16129" width="48.85546875" style="231" customWidth="1"/>
    <col min="16130" max="16130" width="10" style="231" bestFit="1" customWidth="1"/>
    <col min="16131" max="16384" width="9.140625" style="231"/>
  </cols>
  <sheetData>
    <row r="1" spans="1:2" ht="15.75" thickBot="1" x14ac:dyDescent="0.3">
      <c r="A1" s="281" t="s">
        <v>78</v>
      </c>
      <c r="B1" s="294"/>
    </row>
    <row r="2" spans="1:2" ht="15.75" thickBot="1" x14ac:dyDescent="0.3">
      <c r="A2" s="279" t="s">
        <v>307</v>
      </c>
      <c r="B2" s="275"/>
    </row>
    <row r="3" spans="1:2" ht="15.75" thickBot="1" x14ac:dyDescent="0.3">
      <c r="A3" s="277" t="s">
        <v>308</v>
      </c>
      <c r="B3" s="285"/>
    </row>
    <row r="4" spans="1:2" ht="15.75" thickBot="1" x14ac:dyDescent="0.3">
      <c r="A4" s="277" t="s">
        <v>309</v>
      </c>
      <c r="B4" s="286"/>
    </row>
    <row r="5" spans="1:2" ht="15.75" thickBot="1" x14ac:dyDescent="0.3">
      <c r="A5" s="277" t="s">
        <v>310</v>
      </c>
      <c r="B5" s="292"/>
    </row>
    <row r="6" spans="1:2" ht="15.75" thickBot="1" x14ac:dyDescent="0.3">
      <c r="A6" s="277" t="s">
        <v>311</v>
      </c>
      <c r="B6" s="285"/>
    </row>
    <row r="7" spans="1:2" ht="15.75" thickBot="1" x14ac:dyDescent="0.3">
      <c r="A7" s="290" t="s">
        <v>312</v>
      </c>
      <c r="B7" s="278"/>
    </row>
    <row r="8" spans="1:2" ht="15.75" thickBot="1" x14ac:dyDescent="0.3">
      <c r="A8" s="279" t="s">
        <v>313</v>
      </c>
      <c r="B8" s="275"/>
    </row>
    <row r="9" spans="1:2" ht="15.75" thickBot="1" x14ac:dyDescent="0.3">
      <c r="A9" s="295" t="s">
        <v>314</v>
      </c>
      <c r="B9" s="285"/>
    </row>
    <row r="10" spans="1:2" ht="15.75" thickBot="1" x14ac:dyDescent="0.3">
      <c r="A10" s="295" t="s">
        <v>315</v>
      </c>
      <c r="B10" s="285"/>
    </row>
    <row r="11" spans="1:2" ht="15.75" thickBot="1" x14ac:dyDescent="0.3">
      <c r="A11" s="277" t="s">
        <v>316</v>
      </c>
      <c r="B11" s="285"/>
    </row>
    <row r="12" spans="1:2" ht="15.75" thickBot="1" x14ac:dyDescent="0.3">
      <c r="A12" s="277" t="s">
        <v>317</v>
      </c>
      <c r="B12" s="286"/>
    </row>
    <row r="13" spans="1:2" ht="15.75" thickBot="1" x14ac:dyDescent="0.3">
      <c r="A13" s="277" t="s">
        <v>318</v>
      </c>
      <c r="B13" s="285"/>
    </row>
    <row r="14" spans="1:2" ht="15.75" thickBot="1" x14ac:dyDescent="0.3">
      <c r="A14" s="277" t="s">
        <v>319</v>
      </c>
      <c r="B14" s="285"/>
    </row>
    <row r="15" spans="1:2" ht="15.75" thickBot="1" x14ac:dyDescent="0.3">
      <c r="A15" s="277" t="s">
        <v>320</v>
      </c>
      <c r="B15" s="285"/>
    </row>
    <row r="16" spans="1:2" ht="15.75" thickBot="1" x14ac:dyDescent="0.3">
      <c r="A16" s="293" t="s">
        <v>321</v>
      </c>
      <c r="B16" s="296">
        <f>SUM(B7:B15)</f>
        <v>0</v>
      </c>
    </row>
    <row r="17" spans="1:2" ht="15.75" thickBot="1" x14ac:dyDescent="0.3">
      <c r="A17" s="297" t="s">
        <v>322</v>
      </c>
      <c r="B17" s="298"/>
    </row>
    <row r="18" spans="1:2" ht="15.75" thickBot="1" x14ac:dyDescent="0.3">
      <c r="A18" s="295" t="s">
        <v>323</v>
      </c>
      <c r="B18" s="285"/>
    </row>
    <row r="19" spans="1:2" ht="15.75" thickBot="1" x14ac:dyDescent="0.3">
      <c r="A19" s="277" t="s">
        <v>324</v>
      </c>
      <c r="B19" s="285"/>
    </row>
    <row r="20" spans="1:2" ht="15.75" thickBot="1" x14ac:dyDescent="0.3">
      <c r="A20" s="293" t="s">
        <v>325</v>
      </c>
      <c r="B20" s="299">
        <f>SUM(B17:B19)</f>
        <v>0</v>
      </c>
    </row>
    <row r="21" spans="1:2" ht="15.75" thickBot="1" x14ac:dyDescent="0.3">
      <c r="A21" s="277" t="s">
        <v>326</v>
      </c>
      <c r="B21" s="285"/>
    </row>
    <row r="22" spans="1:2" ht="15.75" thickBot="1" x14ac:dyDescent="0.3">
      <c r="A22" s="297" t="s">
        <v>327</v>
      </c>
      <c r="B22" s="298"/>
    </row>
    <row r="23" spans="1:2" ht="15.75" thickBot="1" x14ac:dyDescent="0.3">
      <c r="A23" s="297" t="s">
        <v>328</v>
      </c>
      <c r="B23" s="298"/>
    </row>
    <row r="24" spans="1:2" ht="15.75" thickBot="1" x14ac:dyDescent="0.3">
      <c r="A24" s="297" t="s">
        <v>329</v>
      </c>
      <c r="B24" s="298"/>
    </row>
    <row r="25" spans="1:2" ht="15.75" thickBot="1" x14ac:dyDescent="0.3">
      <c r="A25" s="277" t="s">
        <v>116</v>
      </c>
      <c r="B25" s="285"/>
    </row>
    <row r="26" spans="1:2" ht="15.75" thickBot="1" x14ac:dyDescent="0.3">
      <c r="A26" s="297" t="s">
        <v>330</v>
      </c>
      <c r="B26" s="298"/>
    </row>
    <row r="27" spans="1:2" ht="15.75" thickBot="1" x14ac:dyDescent="0.3">
      <c r="A27" s="293" t="s">
        <v>331</v>
      </c>
      <c r="B27" s="296">
        <f>SUM(B21:B26)</f>
        <v>0</v>
      </c>
    </row>
    <row r="28" spans="1:2" ht="15.75" thickBot="1" x14ac:dyDescent="0.3">
      <c r="A28" s="293" t="s">
        <v>332</v>
      </c>
      <c r="B28" s="296">
        <f>B16+B20+B27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0" zoomScaleNormal="110" workbookViewId="0">
      <selection activeCell="A19" sqref="A19"/>
    </sheetView>
  </sheetViews>
  <sheetFormatPr defaultRowHeight="15" x14ac:dyDescent="0.25"/>
  <cols>
    <col min="1" max="1" width="52" style="231" customWidth="1"/>
    <col min="2" max="2" width="13.42578125" style="231" bestFit="1" customWidth="1"/>
    <col min="3" max="3" width="9.140625" style="231"/>
    <col min="4" max="4" width="13.28515625" style="231" bestFit="1" customWidth="1"/>
    <col min="5" max="256" width="9.140625" style="231"/>
    <col min="257" max="257" width="52" style="231" customWidth="1"/>
    <col min="258" max="512" width="9.140625" style="231"/>
    <col min="513" max="513" width="52" style="231" customWidth="1"/>
    <col min="514" max="768" width="9.140625" style="231"/>
    <col min="769" max="769" width="52" style="231" customWidth="1"/>
    <col min="770" max="1024" width="9.140625" style="231"/>
    <col min="1025" max="1025" width="52" style="231" customWidth="1"/>
    <col min="1026" max="1280" width="9.140625" style="231"/>
    <col min="1281" max="1281" width="52" style="231" customWidth="1"/>
    <col min="1282" max="1536" width="9.140625" style="231"/>
    <col min="1537" max="1537" width="52" style="231" customWidth="1"/>
    <col min="1538" max="1792" width="9.140625" style="231"/>
    <col min="1793" max="1793" width="52" style="231" customWidth="1"/>
    <col min="1794" max="2048" width="9.140625" style="231"/>
    <col min="2049" max="2049" width="52" style="231" customWidth="1"/>
    <col min="2050" max="2304" width="9.140625" style="231"/>
    <col min="2305" max="2305" width="52" style="231" customWidth="1"/>
    <col min="2306" max="2560" width="9.140625" style="231"/>
    <col min="2561" max="2561" width="52" style="231" customWidth="1"/>
    <col min="2562" max="2816" width="9.140625" style="231"/>
    <col min="2817" max="2817" width="52" style="231" customWidth="1"/>
    <col min="2818" max="3072" width="9.140625" style="231"/>
    <col min="3073" max="3073" width="52" style="231" customWidth="1"/>
    <col min="3074" max="3328" width="9.140625" style="231"/>
    <col min="3329" max="3329" width="52" style="231" customWidth="1"/>
    <col min="3330" max="3584" width="9.140625" style="231"/>
    <col min="3585" max="3585" width="52" style="231" customWidth="1"/>
    <col min="3586" max="3840" width="9.140625" style="231"/>
    <col min="3841" max="3841" width="52" style="231" customWidth="1"/>
    <col min="3842" max="4096" width="9.140625" style="231"/>
    <col min="4097" max="4097" width="52" style="231" customWidth="1"/>
    <col min="4098" max="4352" width="9.140625" style="231"/>
    <col min="4353" max="4353" width="52" style="231" customWidth="1"/>
    <col min="4354" max="4608" width="9.140625" style="231"/>
    <col min="4609" max="4609" width="52" style="231" customWidth="1"/>
    <col min="4610" max="4864" width="9.140625" style="231"/>
    <col min="4865" max="4865" width="52" style="231" customWidth="1"/>
    <col min="4866" max="5120" width="9.140625" style="231"/>
    <col min="5121" max="5121" width="52" style="231" customWidth="1"/>
    <col min="5122" max="5376" width="9.140625" style="231"/>
    <col min="5377" max="5377" width="52" style="231" customWidth="1"/>
    <col min="5378" max="5632" width="9.140625" style="231"/>
    <col min="5633" max="5633" width="52" style="231" customWidth="1"/>
    <col min="5634" max="5888" width="9.140625" style="231"/>
    <col min="5889" max="5889" width="52" style="231" customWidth="1"/>
    <col min="5890" max="6144" width="9.140625" style="231"/>
    <col min="6145" max="6145" width="52" style="231" customWidth="1"/>
    <col min="6146" max="6400" width="9.140625" style="231"/>
    <col min="6401" max="6401" width="52" style="231" customWidth="1"/>
    <col min="6402" max="6656" width="9.140625" style="231"/>
    <col min="6657" max="6657" width="52" style="231" customWidth="1"/>
    <col min="6658" max="6912" width="9.140625" style="231"/>
    <col min="6913" max="6913" width="52" style="231" customWidth="1"/>
    <col min="6914" max="7168" width="9.140625" style="231"/>
    <col min="7169" max="7169" width="52" style="231" customWidth="1"/>
    <col min="7170" max="7424" width="9.140625" style="231"/>
    <col min="7425" max="7425" width="52" style="231" customWidth="1"/>
    <col min="7426" max="7680" width="9.140625" style="231"/>
    <col min="7681" max="7681" width="52" style="231" customWidth="1"/>
    <col min="7682" max="7936" width="9.140625" style="231"/>
    <col min="7937" max="7937" width="52" style="231" customWidth="1"/>
    <col min="7938" max="8192" width="9.140625" style="231"/>
    <col min="8193" max="8193" width="52" style="231" customWidth="1"/>
    <col min="8194" max="8448" width="9.140625" style="231"/>
    <col min="8449" max="8449" width="52" style="231" customWidth="1"/>
    <col min="8450" max="8704" width="9.140625" style="231"/>
    <col min="8705" max="8705" width="52" style="231" customWidth="1"/>
    <col min="8706" max="8960" width="9.140625" style="231"/>
    <col min="8961" max="8961" width="52" style="231" customWidth="1"/>
    <col min="8962" max="9216" width="9.140625" style="231"/>
    <col min="9217" max="9217" width="52" style="231" customWidth="1"/>
    <col min="9218" max="9472" width="9.140625" style="231"/>
    <col min="9473" max="9473" width="52" style="231" customWidth="1"/>
    <col min="9474" max="9728" width="9.140625" style="231"/>
    <col min="9729" max="9729" width="52" style="231" customWidth="1"/>
    <col min="9730" max="9984" width="9.140625" style="231"/>
    <col min="9985" max="9985" width="52" style="231" customWidth="1"/>
    <col min="9986" max="10240" width="9.140625" style="231"/>
    <col min="10241" max="10241" width="52" style="231" customWidth="1"/>
    <col min="10242" max="10496" width="9.140625" style="231"/>
    <col min="10497" max="10497" width="52" style="231" customWidth="1"/>
    <col min="10498" max="10752" width="9.140625" style="231"/>
    <col min="10753" max="10753" width="52" style="231" customWidth="1"/>
    <col min="10754" max="11008" width="9.140625" style="231"/>
    <col min="11009" max="11009" width="52" style="231" customWidth="1"/>
    <col min="11010" max="11264" width="9.140625" style="231"/>
    <col min="11265" max="11265" width="52" style="231" customWidth="1"/>
    <col min="11266" max="11520" width="9.140625" style="231"/>
    <col min="11521" max="11521" width="52" style="231" customWidth="1"/>
    <col min="11522" max="11776" width="9.140625" style="231"/>
    <col min="11777" max="11777" width="52" style="231" customWidth="1"/>
    <col min="11778" max="12032" width="9.140625" style="231"/>
    <col min="12033" max="12033" width="52" style="231" customWidth="1"/>
    <col min="12034" max="12288" width="9.140625" style="231"/>
    <col min="12289" max="12289" width="52" style="231" customWidth="1"/>
    <col min="12290" max="12544" width="9.140625" style="231"/>
    <col min="12545" max="12545" width="52" style="231" customWidth="1"/>
    <col min="12546" max="12800" width="9.140625" style="231"/>
    <col min="12801" max="12801" width="52" style="231" customWidth="1"/>
    <col min="12802" max="13056" width="9.140625" style="231"/>
    <col min="13057" max="13057" width="52" style="231" customWidth="1"/>
    <col min="13058" max="13312" width="9.140625" style="231"/>
    <col min="13313" max="13313" width="52" style="231" customWidth="1"/>
    <col min="13314" max="13568" width="9.140625" style="231"/>
    <col min="13569" max="13569" width="52" style="231" customWidth="1"/>
    <col min="13570" max="13824" width="9.140625" style="231"/>
    <col min="13825" max="13825" width="52" style="231" customWidth="1"/>
    <col min="13826" max="14080" width="9.140625" style="231"/>
    <col min="14081" max="14081" width="52" style="231" customWidth="1"/>
    <col min="14082" max="14336" width="9.140625" style="231"/>
    <col min="14337" max="14337" width="52" style="231" customWidth="1"/>
    <col min="14338" max="14592" width="9.140625" style="231"/>
    <col min="14593" max="14593" width="52" style="231" customWidth="1"/>
    <col min="14594" max="14848" width="9.140625" style="231"/>
    <col min="14849" max="14849" width="52" style="231" customWidth="1"/>
    <col min="14850" max="15104" width="9.140625" style="231"/>
    <col min="15105" max="15105" width="52" style="231" customWidth="1"/>
    <col min="15106" max="15360" width="9.140625" style="231"/>
    <col min="15361" max="15361" width="52" style="231" customWidth="1"/>
    <col min="15362" max="15616" width="9.140625" style="231"/>
    <col min="15617" max="15617" width="52" style="231" customWidth="1"/>
    <col min="15618" max="15872" width="9.140625" style="231"/>
    <col min="15873" max="15873" width="52" style="231" customWidth="1"/>
    <col min="15874" max="16128" width="9.140625" style="231"/>
    <col min="16129" max="16129" width="52" style="231" customWidth="1"/>
    <col min="16130" max="16384" width="9.140625" style="231"/>
  </cols>
  <sheetData>
    <row r="1" spans="1:2" ht="15.75" thickBot="1" x14ac:dyDescent="0.3">
      <c r="A1" s="717" t="s">
        <v>333</v>
      </c>
      <c r="B1" s="718"/>
    </row>
    <row r="2" spans="1:2" ht="15.75" thickBot="1" x14ac:dyDescent="0.3">
      <c r="A2" s="300" t="s">
        <v>334</v>
      </c>
      <c r="B2" s="283"/>
    </row>
    <row r="3" spans="1:2" ht="15.75" thickBot="1" x14ac:dyDescent="0.3">
      <c r="A3" s="290" t="s">
        <v>78</v>
      </c>
      <c r="B3" s="311" t="e">
        <f>#REF!</f>
        <v>#REF!</v>
      </c>
    </row>
    <row r="4" spans="1:2" ht="15.75" thickBot="1" x14ac:dyDescent="0.3">
      <c r="A4" s="279" t="s">
        <v>307</v>
      </c>
      <c r="B4" s="311"/>
    </row>
    <row r="5" spans="1:2" ht="15.75" thickBot="1" x14ac:dyDescent="0.3">
      <c r="A5" s="277" t="s">
        <v>335</v>
      </c>
      <c r="B5" s="311" t="e">
        <f>#REF!</f>
        <v>#REF!</v>
      </c>
    </row>
    <row r="6" spans="1:2" ht="15.75" thickBot="1" x14ac:dyDescent="0.3">
      <c r="A6" s="277" t="s">
        <v>336</v>
      </c>
      <c r="B6" s="311"/>
    </row>
    <row r="7" spans="1:2" ht="15.75" thickBot="1" x14ac:dyDescent="0.3">
      <c r="A7" s="277" t="s">
        <v>337</v>
      </c>
      <c r="B7" s="311" t="e">
        <f>#REF!</f>
        <v>#REF!</v>
      </c>
    </row>
    <row r="8" spans="1:2" ht="15.75" thickBot="1" x14ac:dyDescent="0.3">
      <c r="A8" s="277" t="s">
        <v>358</v>
      </c>
      <c r="B8" s="311" t="e">
        <f>#REF!</f>
        <v>#REF!</v>
      </c>
    </row>
    <row r="9" spans="1:2" ht="15.75" thickBot="1" x14ac:dyDescent="0.3">
      <c r="A9" s="277" t="s">
        <v>338</v>
      </c>
      <c r="B9" s="311"/>
    </row>
    <row r="10" spans="1:2" ht="15.75" thickBot="1" x14ac:dyDescent="0.3">
      <c r="A10" s="290" t="s">
        <v>312</v>
      </c>
      <c r="B10" s="311" t="e">
        <f>SUM(B3:B9)</f>
        <v>#REF!</v>
      </c>
    </row>
    <row r="11" spans="1:2" ht="15.75" thickBot="1" x14ac:dyDescent="0.3">
      <c r="A11" s="279" t="s">
        <v>313</v>
      </c>
      <c r="B11" s="311"/>
    </row>
    <row r="12" spans="1:2" ht="15.75" thickBot="1" x14ac:dyDescent="0.3">
      <c r="A12" s="295" t="s">
        <v>314</v>
      </c>
      <c r="B12" s="311" t="e">
        <f>-('BP (2)'!E10+'BP (2)'!E11+'BP (2)'!E15)</f>
        <v>#REF!</v>
      </c>
    </row>
    <row r="13" spans="1:2" ht="15.75" thickBot="1" x14ac:dyDescent="0.3">
      <c r="A13" s="295" t="s">
        <v>315</v>
      </c>
      <c r="B13" s="311" t="e">
        <f>-('BP (2)'!E12)</f>
        <v>#REF!</v>
      </c>
    </row>
    <row r="14" spans="1:2" ht="15.75" thickBot="1" x14ac:dyDescent="0.3">
      <c r="A14" s="277" t="s">
        <v>316</v>
      </c>
      <c r="B14" s="311" t="e">
        <f>-('BP (2)'!E14+'BP (2)'!E16)</f>
        <v>#REF!</v>
      </c>
    </row>
    <row r="15" spans="1:2" ht="15.75" thickBot="1" x14ac:dyDescent="0.3">
      <c r="A15" s="277" t="s">
        <v>359</v>
      </c>
      <c r="B15" s="311" t="e">
        <f>-('BP (2)'!E16)</f>
        <v>#REF!</v>
      </c>
    </row>
    <row r="16" spans="1:2" ht="15.75" thickBot="1" x14ac:dyDescent="0.3">
      <c r="A16" s="277" t="s">
        <v>317</v>
      </c>
      <c r="B16" s="311" t="e">
        <f>-('BP (2)'!J9)</f>
        <v>#REF!</v>
      </c>
    </row>
    <row r="17" spans="1:3" ht="15.75" thickBot="1" x14ac:dyDescent="0.3">
      <c r="A17" s="277" t="s">
        <v>318</v>
      </c>
      <c r="B17" s="311" t="e">
        <f>'BP (2)'!J10</f>
        <v>#REF!</v>
      </c>
    </row>
    <row r="18" spans="1:3" ht="15.75" thickBot="1" x14ac:dyDescent="0.3">
      <c r="A18" s="277" t="s">
        <v>319</v>
      </c>
      <c r="B18" s="311" t="e">
        <f>'BP (2)'!J12</f>
        <v>#REF!</v>
      </c>
    </row>
    <row r="19" spans="1:3" ht="15.75" thickBot="1" x14ac:dyDescent="0.3">
      <c r="A19" s="277" t="s">
        <v>357</v>
      </c>
      <c r="B19" s="311" t="e">
        <f>-('BP (2)'!J15)</f>
        <v>#REF!</v>
      </c>
    </row>
    <row r="20" spans="1:3" ht="15.75" thickBot="1" x14ac:dyDescent="0.3">
      <c r="A20" s="277" t="s">
        <v>320</v>
      </c>
      <c r="B20" s="311" t="e">
        <f>-('BP (2)'!J13)</f>
        <v>#REF!</v>
      </c>
    </row>
    <row r="21" spans="1:3" ht="15.75" thickBot="1" x14ac:dyDescent="0.3">
      <c r="A21" s="301" t="s">
        <v>321</v>
      </c>
      <c r="B21" s="319" t="e">
        <f>SUM(B10:B20)</f>
        <v>#REF!</v>
      </c>
    </row>
    <row r="22" spans="1:3" ht="15.75" thickBot="1" x14ac:dyDescent="0.3">
      <c r="A22" s="302" t="s">
        <v>271</v>
      </c>
      <c r="B22" s="320"/>
    </row>
    <row r="23" spans="1:3" ht="15.75" thickBot="1" x14ac:dyDescent="0.3">
      <c r="A23" s="295" t="s">
        <v>339</v>
      </c>
      <c r="B23" s="310"/>
    </row>
    <row r="24" spans="1:3" ht="15.75" thickBot="1" x14ac:dyDescent="0.3">
      <c r="A24" s="277" t="s">
        <v>324</v>
      </c>
      <c r="B24" s="310"/>
    </row>
    <row r="25" spans="1:3" ht="15.75" thickBot="1" x14ac:dyDescent="0.3">
      <c r="A25" s="277" t="s">
        <v>326</v>
      </c>
      <c r="B25" s="311"/>
    </row>
    <row r="26" spans="1:3" ht="15.75" thickBot="1" x14ac:dyDescent="0.3">
      <c r="A26" s="301" t="s">
        <v>325</v>
      </c>
      <c r="B26" s="321">
        <f>SUM(B23:B25)</f>
        <v>0</v>
      </c>
    </row>
    <row r="27" spans="1:3" ht="15.75" thickBot="1" x14ac:dyDescent="0.3">
      <c r="A27" s="302" t="s">
        <v>340</v>
      </c>
      <c r="B27" s="320"/>
    </row>
    <row r="28" spans="1:3" ht="15.75" thickBot="1" x14ac:dyDescent="0.3">
      <c r="A28" s="277" t="s">
        <v>116</v>
      </c>
      <c r="B28" s="311">
        <v>0</v>
      </c>
    </row>
    <row r="29" spans="1:3" ht="15.75" thickBot="1" x14ac:dyDescent="0.3">
      <c r="A29" s="301" t="s">
        <v>331</v>
      </c>
      <c r="B29" s="319">
        <f>SUM(B28)</f>
        <v>0</v>
      </c>
      <c r="C29" s="231" t="s">
        <v>341</v>
      </c>
    </row>
    <row r="30" spans="1:3" ht="15.75" thickBot="1" x14ac:dyDescent="0.3">
      <c r="A30" s="293" t="s">
        <v>332</v>
      </c>
      <c r="B30" s="320" t="e">
        <f>B29+B26+B21</f>
        <v>#REF!</v>
      </c>
    </row>
    <row r="31" spans="1:3" ht="15.75" thickBot="1" x14ac:dyDescent="0.3">
      <c r="A31" s="290" t="s">
        <v>342</v>
      </c>
      <c r="B31" s="311" t="e">
        <f>'BP (2)'!C8</f>
        <v>#REF!</v>
      </c>
    </row>
    <row r="32" spans="1:3" ht="15.75" thickBot="1" x14ac:dyDescent="0.3">
      <c r="A32" s="290" t="s">
        <v>343</v>
      </c>
      <c r="B32" s="311" t="e">
        <f>'BP (2)'!D8</f>
        <v>#REF!</v>
      </c>
    </row>
    <row r="33" spans="1:4" ht="15.75" thickBot="1" x14ac:dyDescent="0.3">
      <c r="A33" s="293" t="s">
        <v>344</v>
      </c>
      <c r="B33" s="320" t="e">
        <f>B32-B31</f>
        <v>#REF!</v>
      </c>
      <c r="D33" s="232" t="e">
        <f>B30+B33</f>
        <v>#REF!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</vt:i4>
      </vt:variant>
    </vt:vector>
  </HeadingPairs>
  <TitlesOfParts>
    <vt:vector size="21" baseType="lpstr">
      <vt:lpstr>Lanç x1</vt:lpstr>
      <vt:lpstr>Controle do Imobilizado</vt:lpstr>
      <vt:lpstr>Raz x1 </vt:lpstr>
      <vt:lpstr>EST x1</vt:lpstr>
      <vt:lpstr>RAZONETES Cecilia</vt:lpstr>
      <vt:lpstr>DRE x1</vt:lpstr>
      <vt:lpstr>RESERVAS e DIVIDENDOS x1</vt:lpstr>
      <vt:lpstr>BALANÇO x2</vt:lpstr>
      <vt:lpstr>BP  </vt:lpstr>
      <vt:lpstr>DMPL x1</vt:lpstr>
      <vt:lpstr>AVP x2</vt:lpstr>
      <vt:lpstr>FC PT 1 </vt:lpstr>
      <vt:lpstr>FC PT 2 (2)</vt:lpstr>
      <vt:lpstr>FC PT 3 (2)</vt:lpstr>
      <vt:lpstr>FC PT 4 (2)</vt:lpstr>
      <vt:lpstr>BP (2)</vt:lpstr>
      <vt:lpstr>FC PT 1</vt:lpstr>
      <vt:lpstr>FC PT 2</vt:lpstr>
      <vt:lpstr>FC PT 3</vt:lpstr>
      <vt:lpstr>FC PT 4</vt:lpstr>
      <vt:lpstr>'RAZONETES Cecilia'!Area_de_impressao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</dc:creator>
  <cp:lastModifiedBy>Umbelina</cp:lastModifiedBy>
  <cp:lastPrinted>2013-02-05T20:43:30Z</cp:lastPrinted>
  <dcterms:created xsi:type="dcterms:W3CDTF">2013-01-08T10:01:41Z</dcterms:created>
  <dcterms:modified xsi:type="dcterms:W3CDTF">2014-04-08T23:13:47Z</dcterms:modified>
</cp:coreProperties>
</file>