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y vaio\Dropbox\Aulas Graduação UFPE 2013.2\Contabilidade Societária 1\Aula 2\"/>
    </mc:Choice>
  </mc:AlternateContent>
  <bookViews>
    <workbookView xWindow="0" yWindow="45" windowWidth="12000" windowHeight="5565" activeTab="1"/>
  </bookViews>
  <sheets>
    <sheet name="BP 2013  " sheetId="27" r:id="rId1"/>
    <sheet name="Lançamentos" sheetId="4" r:id="rId2"/>
    <sheet name="Ações " sheetId="16" r:id="rId3"/>
    <sheet name="FC PT 1 " sheetId="30" r:id="rId4"/>
    <sheet name="FC PT 2 " sheetId="31" r:id="rId5"/>
    <sheet name="FC PT 3" sheetId="32" r:id="rId6"/>
    <sheet name="FC PT 4" sheetId="34" r:id="rId7"/>
    <sheet name="EST x2 Chocolate" sheetId="14" r:id="rId8"/>
    <sheet name="Raz x1 " sheetId="28" r:id="rId9"/>
    <sheet name="DRE 2013" sheetId="20" r:id="rId10"/>
    <sheet name="RESERVAS e DIVIDENDOS 2013" sheetId="19" r:id="rId11"/>
    <sheet name="DRA 2013" sheetId="29" r:id="rId12"/>
    <sheet name="DMPL 2013" sheetId="22" r:id="rId13"/>
    <sheet name="Controle do Imobilizado 2013" sheetId="18" r:id="rId14"/>
    <sheet name="Adiantamentos a funcionários" sheetId="17" r:id="rId15"/>
    <sheet name="EST Sup. Resmas" sheetId="25" r:id="rId16"/>
    <sheet name="EST Sup.Tonner" sheetId="26" r:id="rId17"/>
    <sheet name="Controle do Imobilizado (2012)" sheetId="5" r:id="rId18"/>
    <sheet name="DRE 2012" sheetId="8" r:id="rId19"/>
    <sheet name="BP  2012" sheetId="10" r:id="rId20"/>
    <sheet name="DMPL 2012" sheetId="1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B23" i="34" l="1"/>
  <c r="B24" i="34" l="1"/>
  <c r="B21" i="34"/>
  <c r="B20" i="34"/>
  <c r="B19" i="34"/>
  <c r="B18" i="34"/>
  <c r="B17" i="34"/>
  <c r="B16" i="34"/>
  <c r="B15" i="34"/>
  <c r="B14" i="34"/>
  <c r="B13" i="34"/>
  <c r="B12" i="34"/>
  <c r="B9" i="34"/>
  <c r="B8" i="34"/>
  <c r="B7" i="34"/>
  <c r="B25" i="32"/>
  <c r="B23" i="32"/>
  <c r="B9" i="32"/>
  <c r="B21" i="32"/>
  <c r="B20" i="32"/>
  <c r="B19" i="32"/>
  <c r="B17" i="32"/>
  <c r="B16" i="32"/>
  <c r="B14" i="32"/>
  <c r="B13" i="32"/>
  <c r="B12" i="32"/>
  <c r="D20" i="31"/>
  <c r="D6" i="30"/>
  <c r="D16" i="30" s="1"/>
  <c r="D5" i="30"/>
  <c r="D3" i="30"/>
  <c r="B25" i="34" l="1"/>
  <c r="B15" i="32"/>
  <c r="B8" i="32"/>
  <c r="B7" i="32"/>
  <c r="B18" i="32"/>
  <c r="B224" i="4"/>
  <c r="B31" i="31"/>
  <c r="C3" i="31"/>
  <c r="C6" i="31"/>
  <c r="C30" i="31"/>
  <c r="C29" i="31"/>
  <c r="B10" i="30"/>
  <c r="B9" i="30"/>
  <c r="E6" i="30"/>
  <c r="B9" i="31"/>
  <c r="B11" i="31"/>
  <c r="H59" i="27"/>
  <c r="C14" i="30"/>
  <c r="C15" i="30"/>
  <c r="C10" i="30"/>
  <c r="C9" i="30"/>
  <c r="C5" i="30"/>
  <c r="C6" i="30"/>
  <c r="X11" i="27"/>
  <c r="L44" i="27"/>
  <c r="L50" i="27"/>
  <c r="L55" i="27"/>
  <c r="C3" i="30"/>
  <c r="C16" i="30" l="1"/>
  <c r="A9" i="29" l="1"/>
  <c r="B21" i="4" l="1"/>
  <c r="B119" i="4"/>
  <c r="C81" i="28" l="1"/>
  <c r="C80" i="28"/>
  <c r="C79" i="28"/>
  <c r="C78" i="28"/>
  <c r="C77" i="28"/>
  <c r="C75" i="28"/>
  <c r="C74" i="28"/>
  <c r="C73" i="28"/>
  <c r="D72" i="28"/>
  <c r="C72" i="28"/>
  <c r="D71" i="28"/>
  <c r="D82" i="28" s="1"/>
  <c r="C71" i="28"/>
  <c r="I67" i="28"/>
  <c r="H67" i="28"/>
  <c r="H68" i="28" s="1"/>
  <c r="D67" i="28"/>
  <c r="C67" i="28"/>
  <c r="BQ57" i="28"/>
  <c r="BP57" i="28"/>
  <c r="BL57" i="28"/>
  <c r="BK57" i="28"/>
  <c r="BG57" i="28"/>
  <c r="BF57" i="28"/>
  <c r="BB57" i="28"/>
  <c r="BA57" i="28"/>
  <c r="AW57" i="28"/>
  <c r="AV57" i="28"/>
  <c r="AR57" i="28"/>
  <c r="AQ57" i="28"/>
  <c r="AM57" i="28"/>
  <c r="AL57" i="28"/>
  <c r="AL58" i="28" s="1"/>
  <c r="AH57" i="28"/>
  <c r="AG57" i="28"/>
  <c r="AC57" i="28"/>
  <c r="AB57" i="28"/>
  <c r="AB58" i="28" s="1"/>
  <c r="X57" i="28"/>
  <c r="W57" i="28"/>
  <c r="S57" i="28"/>
  <c r="R57" i="28"/>
  <c r="R58" i="28" s="1"/>
  <c r="N57" i="28"/>
  <c r="M57" i="28"/>
  <c r="I57" i="28"/>
  <c r="H57" i="28"/>
  <c r="H58" i="28" s="1"/>
  <c r="C57" i="28"/>
  <c r="AH43" i="28"/>
  <c r="AC43" i="28"/>
  <c r="S43" i="28"/>
  <c r="R43" i="28"/>
  <c r="X36" i="28"/>
  <c r="X43" i="28" s="1"/>
  <c r="N36" i="28"/>
  <c r="N43" i="28" s="1"/>
  <c r="I36" i="28"/>
  <c r="I43" i="28" s="1"/>
  <c r="D36" i="28"/>
  <c r="D43" i="28" s="1"/>
  <c r="AW32" i="28"/>
  <c r="AQ32" i="28"/>
  <c r="AL32" i="28"/>
  <c r="AG32" i="28"/>
  <c r="AC32" i="28"/>
  <c r="AC33" i="28" s="1"/>
  <c r="AB32" i="28"/>
  <c r="X32" i="28"/>
  <c r="W32" i="28"/>
  <c r="W33" i="28" s="1"/>
  <c r="S15" i="27" s="1"/>
  <c r="X15" i="27" s="1"/>
  <c r="C13" i="31" s="1"/>
  <c r="S32" i="28"/>
  <c r="S33" i="28" s="1"/>
  <c r="R32" i="28"/>
  <c r="N32" i="28"/>
  <c r="M32" i="28"/>
  <c r="I32" i="28"/>
  <c r="I33" i="28" s="1"/>
  <c r="H32" i="28"/>
  <c r="AR25" i="28"/>
  <c r="AR32" i="28" s="1"/>
  <c r="AR33" i="28" s="1"/>
  <c r="AM25" i="28"/>
  <c r="AM32" i="28" s="1"/>
  <c r="AM33" i="28" s="1"/>
  <c r="AH25" i="28"/>
  <c r="AH32" i="28" s="1"/>
  <c r="CP21" i="28"/>
  <c r="CO21" i="28"/>
  <c r="CO22" i="28" s="1"/>
  <c r="CK21" i="28"/>
  <c r="CJ21" i="28"/>
  <c r="CF21" i="28"/>
  <c r="CE21" i="28"/>
  <c r="CE22" i="28" s="1"/>
  <c r="CA21" i="28"/>
  <c r="BZ21" i="28"/>
  <c r="BV21" i="28"/>
  <c r="BU21" i="28"/>
  <c r="BU22" i="28" s="1"/>
  <c r="BQ21" i="28"/>
  <c r="BP21" i="28"/>
  <c r="BL21" i="28"/>
  <c r="BK21" i="28"/>
  <c r="BK22" i="28" s="1"/>
  <c r="BG21" i="28"/>
  <c r="BG22" i="28" s="1"/>
  <c r="BF21" i="28"/>
  <c r="BA21" i="28"/>
  <c r="AW21" i="28"/>
  <c r="AV21" i="28"/>
  <c r="AV22" i="28" s="1"/>
  <c r="AR21" i="28"/>
  <c r="AQ21" i="28"/>
  <c r="AM21" i="28"/>
  <c r="AL21" i="28"/>
  <c r="AL22" i="28" s="1"/>
  <c r="AH21" i="28"/>
  <c r="AG22" i="28" s="1"/>
  <c r="AG21" i="28"/>
  <c r="AC21" i="28"/>
  <c r="AB21" i="28"/>
  <c r="AB22" i="28" s="1"/>
  <c r="X21" i="28"/>
  <c r="W21" i="28"/>
  <c r="S21" i="28"/>
  <c r="R21" i="28"/>
  <c r="R22" i="28" s="1"/>
  <c r="N21" i="28"/>
  <c r="M22" i="28" s="1"/>
  <c r="M21" i="28"/>
  <c r="I21" i="28"/>
  <c r="H21" i="28"/>
  <c r="H22" i="28" s="1"/>
  <c r="D21" i="28"/>
  <c r="C21" i="28"/>
  <c r="U59" i="27"/>
  <c r="U60" i="27" s="1"/>
  <c r="F56" i="27"/>
  <c r="L56" i="27" s="1"/>
  <c r="F54" i="27"/>
  <c r="L54" i="27" s="1"/>
  <c r="F53" i="27"/>
  <c r="L53" i="27" s="1"/>
  <c r="S52" i="27"/>
  <c r="X52" i="27" s="1"/>
  <c r="F51" i="27"/>
  <c r="L51" i="27" s="1"/>
  <c r="S49" i="27"/>
  <c r="X49" i="27" s="1"/>
  <c r="F49" i="27"/>
  <c r="L49" i="27" s="1"/>
  <c r="F48" i="27"/>
  <c r="S47" i="27"/>
  <c r="X47" i="27" s="1"/>
  <c r="S46" i="27"/>
  <c r="X46" i="27" s="1"/>
  <c r="S45" i="27"/>
  <c r="X45" i="27" s="1"/>
  <c r="S42" i="27"/>
  <c r="F42" i="27"/>
  <c r="L42" i="27" s="1"/>
  <c r="U37" i="27"/>
  <c r="H37" i="27"/>
  <c r="H60" i="27" s="1"/>
  <c r="F35" i="27"/>
  <c r="L35" i="27" s="1"/>
  <c r="F32" i="27"/>
  <c r="L32" i="27" s="1"/>
  <c r="F29" i="27"/>
  <c r="L29" i="27" s="1"/>
  <c r="F28" i="27"/>
  <c r="L28" i="27" s="1"/>
  <c r="F26" i="27"/>
  <c r="L26" i="27" s="1"/>
  <c r="S25" i="27"/>
  <c r="X25" i="27" s="1"/>
  <c r="B14" i="31" s="1"/>
  <c r="S23" i="27"/>
  <c r="X23" i="27" s="1"/>
  <c r="C15" i="31" s="1"/>
  <c r="F23" i="27"/>
  <c r="S22" i="27"/>
  <c r="X22" i="27" s="1"/>
  <c r="C16" i="31" s="1"/>
  <c r="F20" i="27"/>
  <c r="L20" i="27" s="1"/>
  <c r="B8" i="31" s="1"/>
  <c r="S19" i="27"/>
  <c r="F18" i="27"/>
  <c r="L18" i="27" s="1"/>
  <c r="C7" i="31" s="1"/>
  <c r="F15" i="27"/>
  <c r="L15" i="27" s="1"/>
  <c r="S14" i="27"/>
  <c r="X14" i="27" s="1"/>
  <c r="B12" i="31" s="1"/>
  <c r="F14" i="27"/>
  <c r="F13" i="27"/>
  <c r="S10" i="27"/>
  <c r="F10" i="27"/>
  <c r="C4" i="31" l="1"/>
  <c r="X10" i="27"/>
  <c r="C10" i="31" s="1"/>
  <c r="B6" i="30"/>
  <c r="X42" i="27"/>
  <c r="B15" i="30"/>
  <c r="D15" i="30" s="1"/>
  <c r="L48" i="27"/>
  <c r="D10" i="30"/>
  <c r="L13" i="27"/>
  <c r="B5" i="30"/>
  <c r="L23" i="27"/>
  <c r="D9" i="30"/>
  <c r="X19" i="27"/>
  <c r="B14" i="30"/>
  <c r="D14" i="30" s="1"/>
  <c r="B3" i="30"/>
  <c r="L10" i="27"/>
  <c r="BP22" i="28"/>
  <c r="BZ22" i="28"/>
  <c r="CJ22" i="28"/>
  <c r="AH33" i="28"/>
  <c r="M58" i="28"/>
  <c r="W58" i="28"/>
  <c r="AG58" i="28"/>
  <c r="AQ58" i="28"/>
  <c r="BA58" i="28"/>
  <c r="BK58" i="28"/>
  <c r="N33" i="28"/>
  <c r="S44" i="28"/>
  <c r="AV58" i="28"/>
  <c r="BF58" i="28"/>
  <c r="BP58" i="28"/>
  <c r="C22" i="28"/>
  <c r="W22" i="28"/>
  <c r="AQ22" i="28"/>
  <c r="C68" i="28"/>
  <c r="S59" i="27"/>
  <c r="X59" i="27" s="1"/>
  <c r="F59" i="27"/>
  <c r="L59" i="27" s="1"/>
  <c r="F37" i="27"/>
  <c r="S37" i="27"/>
  <c r="X37" i="27" s="1"/>
  <c r="D47" i="28"/>
  <c r="B20" i="31" l="1"/>
  <c r="B16" i="30"/>
  <c r="F60" i="27"/>
  <c r="L60" i="27" s="1"/>
  <c r="L37" i="27"/>
  <c r="S60" i="27"/>
  <c r="X60" i="27" s="1"/>
  <c r="D57" i="28"/>
  <c r="C58" i="28" s="1"/>
  <c r="C76" i="28"/>
  <c r="C82" i="28" s="1"/>
  <c r="D83" i="28" s="1"/>
  <c r="C84" i="28" l="1"/>
  <c r="D85" i="28"/>
  <c r="C83" i="28"/>
  <c r="C85" i="28" s="1"/>
  <c r="D86" i="28" l="1"/>
  <c r="C86" i="28" s="1"/>
  <c r="F16" i="11" l="1"/>
  <c r="G13" i="22" s="1"/>
  <c r="F12" i="11"/>
  <c r="D12" i="11" s="1"/>
  <c r="I24" i="22"/>
  <c r="I25" i="22"/>
  <c r="I28" i="22"/>
  <c r="B246" i="4"/>
  <c r="F26" i="20"/>
  <c r="B242" i="4" s="1"/>
  <c r="F25" i="20"/>
  <c r="B243" i="4" s="1"/>
  <c r="G11" i="22" l="1"/>
  <c r="D11" i="22" s="1"/>
  <c r="B227" i="4"/>
  <c r="C34" i="31" s="1"/>
  <c r="B226" i="4"/>
  <c r="B225" i="4"/>
  <c r="B26" i="34" l="1"/>
  <c r="B27" i="34" s="1"/>
  <c r="B28" i="32"/>
  <c r="B228" i="4"/>
  <c r="B207" i="4"/>
  <c r="B203" i="4"/>
  <c r="B204" i="4" s="1"/>
  <c r="B199" i="4" l="1"/>
  <c r="B20" i="18"/>
  <c r="B14" i="18"/>
  <c r="B12" i="18"/>
  <c r="B11" i="18"/>
  <c r="B187" i="4" s="1"/>
  <c r="B181" i="4"/>
  <c r="B182" i="4" s="1"/>
  <c r="B178" i="4"/>
  <c r="B179" i="4" s="1"/>
  <c r="B175" i="4"/>
  <c r="B176" i="4" s="1"/>
  <c r="E29" i="16"/>
  <c r="B170" i="4" s="1"/>
  <c r="B171" i="4" s="1"/>
  <c r="G26" i="22" s="1"/>
  <c r="D29" i="16"/>
  <c r="E22" i="16"/>
  <c r="B164" i="4" s="1"/>
  <c r="B165" i="4" s="1"/>
  <c r="E21" i="16"/>
  <c r="B161" i="4" s="1"/>
  <c r="B162" i="4" s="1"/>
  <c r="D26" i="16"/>
  <c r="B167" i="4" s="1"/>
  <c r="B168" i="4" s="1"/>
  <c r="B153" i="4"/>
  <c r="B154" i="4" s="1"/>
  <c r="B150" i="4"/>
  <c r="B151" i="4" s="1"/>
  <c r="E17" i="16"/>
  <c r="B156" i="4" s="1"/>
  <c r="B157" i="4" s="1"/>
  <c r="E16" i="16"/>
  <c r="E15" i="16"/>
  <c r="B147" i="4" s="1"/>
  <c r="B148" i="4" s="1"/>
  <c r="E11" i="16"/>
  <c r="E9" i="16"/>
  <c r="E10" i="16"/>
  <c r="B142" i="4"/>
  <c r="B143" i="4" s="1"/>
  <c r="I26" i="22" l="1"/>
  <c r="B41" i="31" s="1"/>
  <c r="B30" i="32" s="1"/>
  <c r="G33" i="22"/>
  <c r="B13" i="18"/>
  <c r="B190" i="4" s="1"/>
  <c r="B191" i="4" s="1"/>
  <c r="B188" i="4"/>
  <c r="B103" i="4"/>
  <c r="B85" i="4"/>
  <c r="B94" i="4" s="1"/>
  <c r="J20" i="14"/>
  <c r="J22" i="14" s="1"/>
  <c r="J10" i="26"/>
  <c r="J10" i="25"/>
  <c r="E10" i="26"/>
  <c r="E10" i="25"/>
  <c r="I5" i="26"/>
  <c r="F6" i="26" s="1"/>
  <c r="G6" i="26" s="1"/>
  <c r="H5" i="26"/>
  <c r="H6" i="26" s="1"/>
  <c r="H7" i="26" s="1"/>
  <c r="H8" i="26" s="1"/>
  <c r="H9" i="26" s="1"/>
  <c r="D5" i="26"/>
  <c r="J5" i="26" s="1"/>
  <c r="I5" i="25"/>
  <c r="F6" i="25" s="1"/>
  <c r="G6" i="25" s="1"/>
  <c r="H5" i="25"/>
  <c r="H6" i="25" s="1"/>
  <c r="H7" i="25" s="1"/>
  <c r="H8" i="25" s="1"/>
  <c r="H9" i="25" s="1"/>
  <c r="D5" i="25"/>
  <c r="J5" i="25" s="1"/>
  <c r="B53" i="4"/>
  <c r="B50" i="4"/>
  <c r="B22" i="4"/>
  <c r="B27" i="4" s="1"/>
  <c r="H9" i="14"/>
  <c r="H10" i="14" s="1"/>
  <c r="H11" i="14" s="1"/>
  <c r="H12" i="14" s="1"/>
  <c r="B7" i="4"/>
  <c r="E20" i="14"/>
  <c r="E25" i="14" s="1"/>
  <c r="C43" i="14" l="1"/>
  <c r="C44" i="14" s="1"/>
  <c r="B80" i="4" s="1"/>
  <c r="B81" i="4" s="1"/>
  <c r="B38" i="14"/>
  <c r="B39" i="14"/>
  <c r="C38" i="14" s="1"/>
  <c r="C39" i="14" s="1"/>
  <c r="D38" i="14" s="1"/>
  <c r="D39" i="14" s="1"/>
  <c r="E38" i="14" s="1"/>
  <c r="E39" i="14" s="1"/>
  <c r="B95" i="4"/>
  <c r="B15" i="18"/>
  <c r="B193" i="4" s="1"/>
  <c r="B89" i="4"/>
  <c r="B86" i="4"/>
  <c r="B6" i="4"/>
  <c r="B8" i="4"/>
  <c r="B16" i="4" s="1"/>
  <c r="B17" i="4" s="1"/>
  <c r="J21" i="14"/>
  <c r="B77" i="4" s="1"/>
  <c r="J25" i="14"/>
  <c r="B74" i="4" s="1"/>
  <c r="B76" i="4"/>
  <c r="B25" i="4"/>
  <c r="J6" i="26"/>
  <c r="I6" i="26" s="1"/>
  <c r="F7" i="26" s="1"/>
  <c r="G7" i="26" s="1"/>
  <c r="J6" i="25"/>
  <c r="I6" i="25" s="1"/>
  <c r="F7" i="25" s="1"/>
  <c r="G7" i="25" s="1"/>
  <c r="E22" i="14"/>
  <c r="E14" i="22"/>
  <c r="F23" i="22" s="1"/>
  <c r="G12" i="22"/>
  <c r="H12" i="22" s="1"/>
  <c r="A12" i="22"/>
  <c r="H10" i="22"/>
  <c r="G9" i="22"/>
  <c r="G14" i="22" s="1"/>
  <c r="C8" i="22"/>
  <c r="C14" i="22" s="1"/>
  <c r="C23" i="22" s="1"/>
  <c r="C33" i="22" s="1"/>
  <c r="B8" i="22"/>
  <c r="B14" i="22" s="1"/>
  <c r="B23" i="22" s="1"/>
  <c r="H7" i="22"/>
  <c r="G6" i="22"/>
  <c r="D6" i="22"/>
  <c r="B6" i="22"/>
  <c r="D7" i="18"/>
  <c r="B215" i="4" s="1"/>
  <c r="D6" i="18"/>
  <c r="D5" i="18"/>
  <c r="B214" i="4" s="1"/>
  <c r="D4" i="18"/>
  <c r="B213" i="4" s="1"/>
  <c r="D3" i="18"/>
  <c r="B212" i="4" s="1"/>
  <c r="D22" i="16"/>
  <c r="D21" i="16"/>
  <c r="D17" i="16"/>
  <c r="D16" i="16"/>
  <c r="D15" i="16"/>
  <c r="D11" i="16"/>
  <c r="D10" i="16"/>
  <c r="D9" i="16"/>
  <c r="B133" i="4" s="1"/>
  <c r="B134" i="4" s="1"/>
  <c r="D5" i="16"/>
  <c r="B129" i="4" s="1"/>
  <c r="B130" i="4" s="1"/>
  <c r="D4" i="16"/>
  <c r="B126" i="4" s="1"/>
  <c r="B127" i="4" s="1"/>
  <c r="D3" i="16"/>
  <c r="B123" i="4" s="1"/>
  <c r="B124" i="4" s="1"/>
  <c r="E17" i="11"/>
  <c r="F15" i="11"/>
  <c r="G15" i="11" s="1"/>
  <c r="A15" i="11"/>
  <c r="G14" i="11"/>
  <c r="G13" i="11"/>
  <c r="A13" i="11"/>
  <c r="G11" i="11"/>
  <c r="F10" i="11"/>
  <c r="G10" i="11" s="1"/>
  <c r="G9" i="11"/>
  <c r="C8" i="11"/>
  <c r="C17" i="11" s="1"/>
  <c r="B8" i="11"/>
  <c r="B17" i="11" s="1"/>
  <c r="G7" i="11"/>
  <c r="F6" i="11"/>
  <c r="D6" i="11"/>
  <c r="B6" i="11"/>
  <c r="M42" i="10"/>
  <c r="E42" i="10"/>
  <c r="M22" i="10"/>
  <c r="M23" i="10" s="1"/>
  <c r="E22" i="10"/>
  <c r="E35" i="8"/>
  <c r="E37" i="8" s="1"/>
  <c r="E27" i="8"/>
  <c r="E26" i="8"/>
  <c r="E25" i="8"/>
  <c r="E22" i="8"/>
  <c r="E21" i="8"/>
  <c r="E17" i="8"/>
  <c r="E6" i="8"/>
  <c r="E4" i="8"/>
  <c r="B194" i="4" l="1"/>
  <c r="B25" i="31" s="1"/>
  <c r="C23" i="31"/>
  <c r="B24" i="32" s="1"/>
  <c r="F38" i="14"/>
  <c r="F39" i="14" s="1"/>
  <c r="B211" i="4"/>
  <c r="F27" i="20" s="1"/>
  <c r="J7" i="25"/>
  <c r="B232" i="4"/>
  <c r="B233" i="4" s="1"/>
  <c r="J7" i="26"/>
  <c r="I7" i="26" s="1"/>
  <c r="F8" i="26" s="1"/>
  <c r="G8" i="26" s="1"/>
  <c r="B33" i="22"/>
  <c r="E7" i="8"/>
  <c r="E16" i="8" s="1"/>
  <c r="E18" i="8" s="1"/>
  <c r="E32" i="8" s="1"/>
  <c r="E39" i="8" s="1"/>
  <c r="B136" i="4"/>
  <c r="B137" i="4" s="1"/>
  <c r="B139" i="4"/>
  <c r="B140" i="4" s="1"/>
  <c r="B111" i="4"/>
  <c r="B91" i="4"/>
  <c r="E21" i="14"/>
  <c r="B9" i="4" s="1"/>
  <c r="B12" i="4" s="1"/>
  <c r="B32" i="14"/>
  <c r="B33" i="14" s="1"/>
  <c r="C32" i="14" s="1"/>
  <c r="C33" i="14" s="1"/>
  <c r="D32" i="14" s="1"/>
  <c r="D33" i="14" s="1"/>
  <c r="E32" i="14" s="1"/>
  <c r="E33" i="14" s="1"/>
  <c r="F32" i="14" s="1"/>
  <c r="F33" i="14" s="1"/>
  <c r="G32" i="14" s="1"/>
  <c r="G33" i="14" s="1"/>
  <c r="H32" i="14" s="1"/>
  <c r="H33" i="14" s="1"/>
  <c r="J26" i="14"/>
  <c r="E26" i="14"/>
  <c r="B5" i="4" s="1"/>
  <c r="B42" i="4"/>
  <c r="B43" i="4" s="1"/>
  <c r="B26" i="4"/>
  <c r="B38" i="4" s="1"/>
  <c r="B39" i="4" s="1"/>
  <c r="B30" i="4"/>
  <c r="I7" i="25"/>
  <c r="F8" i="25" s="1"/>
  <c r="G8" i="25" s="1"/>
  <c r="J8" i="25" s="1"/>
  <c r="E43" i="10"/>
  <c r="H9" i="22"/>
  <c r="H8" i="22"/>
  <c r="M43" i="10"/>
  <c r="G8" i="11"/>
  <c r="B245" i="4" l="1"/>
  <c r="B26" i="31"/>
  <c r="B26" i="32"/>
  <c r="B27" i="32" s="1"/>
  <c r="G38" i="14"/>
  <c r="J8" i="26"/>
  <c r="B110" i="4"/>
  <c r="B112" i="4" s="1"/>
  <c r="F4" i="20"/>
  <c r="B31" i="4"/>
  <c r="F6" i="20"/>
  <c r="B238" i="4" s="1"/>
  <c r="G10" i="25"/>
  <c r="B57" i="4" s="1"/>
  <c r="B13" i="4"/>
  <c r="F36" i="20"/>
  <c r="E41" i="8"/>
  <c r="E42" i="8"/>
  <c r="B90" i="4"/>
  <c r="B106" i="4"/>
  <c r="B107" i="4" s="1"/>
  <c r="F35" i="20" s="1"/>
  <c r="B249" i="4" s="1"/>
  <c r="D11" i="14"/>
  <c r="C11" i="14" s="1"/>
  <c r="B73" i="4"/>
  <c r="I32" i="14"/>
  <c r="D9" i="14"/>
  <c r="I8" i="26"/>
  <c r="F9" i="26" s="1"/>
  <c r="G9" i="26" s="1"/>
  <c r="J9" i="26" s="1"/>
  <c r="I9" i="26" s="1"/>
  <c r="F13" i="26" s="1"/>
  <c r="F14" i="26" s="1"/>
  <c r="B68" i="4" s="1"/>
  <c r="B69" i="4" s="1"/>
  <c r="I8" i="25"/>
  <c r="F9" i="25" s="1"/>
  <c r="G9" i="25" s="1"/>
  <c r="J9" i="25" s="1"/>
  <c r="I9" i="25" s="1"/>
  <c r="F13" i="25" s="1"/>
  <c r="F14" i="25" s="1"/>
  <c r="B65" i="4" s="1"/>
  <c r="F17" i="11"/>
  <c r="G16" i="11"/>
  <c r="D17" i="11"/>
  <c r="G12" i="11"/>
  <c r="B3" i="34" l="1"/>
  <c r="B3" i="32"/>
  <c r="B27" i="31"/>
  <c r="G17" i="11"/>
  <c r="H17" i="11"/>
  <c r="G39" i="14"/>
  <c r="F22" i="20"/>
  <c r="B241" i="4" s="1"/>
  <c r="B66" i="4"/>
  <c r="G10" i="26"/>
  <c r="B60" i="4" s="1"/>
  <c r="F28" i="20" s="1"/>
  <c r="B239" i="4"/>
  <c r="B58" i="4"/>
  <c r="B248" i="4"/>
  <c r="F7" i="20"/>
  <c r="F17" i="20" s="1"/>
  <c r="E44" i="8"/>
  <c r="F38" i="20"/>
  <c r="B244" i="4"/>
  <c r="J9" i="14"/>
  <c r="C9" i="14"/>
  <c r="H38" i="14" l="1"/>
  <c r="B61" i="4"/>
  <c r="B240" i="4"/>
  <c r="I9" i="14"/>
  <c r="F10" i="14" s="1"/>
  <c r="G10" i="14" s="1"/>
  <c r="B34" i="4" s="1"/>
  <c r="D3" i="5"/>
  <c r="D4" i="5"/>
  <c r="D5" i="5"/>
  <c r="D6" i="5"/>
  <c r="D7" i="5"/>
  <c r="H39" i="14" l="1"/>
  <c r="I38" i="14" s="1"/>
  <c r="I39" i="14" s="1"/>
  <c r="B35" i="4"/>
  <c r="J10" i="14"/>
  <c r="J38" i="14" l="1"/>
  <c r="J11" i="14"/>
  <c r="I10" i="14"/>
  <c r="I11" i="14" l="1"/>
  <c r="F12" i="14" s="1"/>
  <c r="G12" i="14" l="1"/>
  <c r="B98" i="4" s="1"/>
  <c r="B99" i="4" s="1"/>
  <c r="G14" i="14"/>
  <c r="J12" i="14"/>
  <c r="I12" i="14" s="1"/>
  <c r="F18" i="20" l="1"/>
  <c r="B247" i="4" s="1"/>
  <c r="B251" i="4" s="1"/>
  <c r="F19" i="20" l="1"/>
  <c r="F33" i="20" s="1"/>
  <c r="F40" i="20" s="1"/>
  <c r="F42" i="20" s="1"/>
  <c r="B254" i="4" s="1"/>
  <c r="B255" i="4" s="1"/>
  <c r="F43" i="20" l="1"/>
  <c r="F45" i="20" s="1"/>
  <c r="B1" i="34" s="1"/>
  <c r="B10" i="34" s="1"/>
  <c r="B22" i="34" s="1"/>
  <c r="B28" i="34" s="1"/>
  <c r="B257" i="4"/>
  <c r="D14" i="22"/>
  <c r="F7" i="29" l="1"/>
  <c r="F11" i="29" s="1"/>
  <c r="B1" i="32"/>
  <c r="B10" i="32" s="1"/>
  <c r="B22" i="32" s="1"/>
  <c r="B258" i="4"/>
  <c r="B260" i="4"/>
  <c r="B261" i="4" s="1"/>
  <c r="H27" i="22"/>
  <c r="F5" i="19"/>
  <c r="M5" i="19"/>
  <c r="H11" i="22"/>
  <c r="D23" i="22"/>
  <c r="I23" i="22" s="1"/>
  <c r="F6" i="19" l="1"/>
  <c r="M6" i="19" s="1"/>
  <c r="M8" i="19" s="1"/>
  <c r="M9" i="19" s="1"/>
  <c r="H13" i="22" s="1"/>
  <c r="I14" i="22" s="1"/>
  <c r="B271" i="4"/>
  <c r="B265" i="4"/>
  <c r="I27" i="22"/>
  <c r="B42" i="31" s="1"/>
  <c r="H14" i="22"/>
  <c r="F7" i="19" l="1"/>
  <c r="F8" i="19" s="1"/>
  <c r="B266" i="4"/>
  <c r="B267" i="4" s="1"/>
  <c r="B268" i="4" s="1"/>
  <c r="B279" i="4" s="1"/>
  <c r="B277" i="4"/>
  <c r="B286" i="4" l="1"/>
  <c r="H30" i="22"/>
  <c r="E30" i="22" s="1"/>
  <c r="B278" i="4"/>
  <c r="B272" i="4"/>
  <c r="B273" i="4" s="1"/>
  <c r="B274" i="4" s="1"/>
  <c r="B280" i="4" s="1"/>
  <c r="H32" i="22" l="1"/>
  <c r="I32" i="22" s="1"/>
  <c r="C43" i="31" s="1"/>
  <c r="B31" i="32" s="1"/>
  <c r="B288" i="4"/>
  <c r="B281" i="4"/>
  <c r="H29" i="22"/>
  <c r="B285" i="4"/>
  <c r="I30" i="22"/>
  <c r="E33" i="22"/>
  <c r="B34" i="31" l="1"/>
  <c r="B44" i="31"/>
  <c r="D29" i="22"/>
  <c r="H31" i="22"/>
  <c r="F31" i="22" s="1"/>
  <c r="B287" i="4"/>
  <c r="B284" i="4" s="1"/>
  <c r="B39" i="31" l="1"/>
  <c r="B45" i="31" s="1"/>
  <c r="D45" i="31" s="1"/>
  <c r="B29" i="32"/>
  <c r="B32" i="32" s="1"/>
  <c r="B33" i="32" s="1"/>
  <c r="C33" i="32" s="1"/>
  <c r="I31" i="22"/>
  <c r="F33" i="22"/>
  <c r="H33" i="22"/>
  <c r="I29" i="22"/>
  <c r="D33" i="22"/>
  <c r="K32" i="22" l="1"/>
  <c r="I33" i="22"/>
  <c r="K33" i="22" l="1"/>
</calcChain>
</file>

<file path=xl/sharedStrings.xml><?xml version="1.0" encoding="utf-8"?>
<sst xmlns="http://schemas.openxmlformats.org/spreadsheetml/2006/main" count="1331" uniqueCount="650">
  <si>
    <t>Papel</t>
  </si>
  <si>
    <t>Quantidade</t>
  </si>
  <si>
    <t>Valor Unt</t>
  </si>
  <si>
    <t>Valor Total</t>
  </si>
  <si>
    <t>PETROBRÁS</t>
  </si>
  <si>
    <t>VALE</t>
  </si>
  <si>
    <t>AMBEV</t>
  </si>
  <si>
    <t xml:space="preserve">Situação </t>
  </si>
  <si>
    <t>Mantém</t>
  </si>
  <si>
    <t>Venda de 200 ações</t>
  </si>
  <si>
    <t>GERDAU</t>
  </si>
  <si>
    <t>Compra de 500 ações</t>
  </si>
  <si>
    <t xml:space="preserve">FUNCIONÁRIO </t>
  </si>
  <si>
    <t>VALOR</t>
  </si>
  <si>
    <t>DATA DE PAGAMENTO</t>
  </si>
  <si>
    <t>PEDRO</t>
  </si>
  <si>
    <t>01 de Fevereiro</t>
  </si>
  <si>
    <t>MARIA</t>
  </si>
  <si>
    <t>15 de Janeiro</t>
  </si>
  <si>
    <t>JOÃO</t>
  </si>
  <si>
    <t>20 de Janeiro</t>
  </si>
  <si>
    <t>Setembro</t>
  </si>
  <si>
    <t>Dezembro</t>
  </si>
  <si>
    <t>D - Estoques</t>
  </si>
  <si>
    <t>D - ICMS a recuperar</t>
  </si>
  <si>
    <t>C - Bancos</t>
  </si>
  <si>
    <t>C - Fornecedor</t>
  </si>
  <si>
    <t>Lançamentos</t>
  </si>
  <si>
    <t>D - Despesa de Juros</t>
  </si>
  <si>
    <t>C - Juros a apropriar</t>
  </si>
  <si>
    <t>D - Fornecedor</t>
  </si>
  <si>
    <t>Saldo Final</t>
  </si>
  <si>
    <t>D - Clientes</t>
  </si>
  <si>
    <t>C - Receita de Vendas</t>
  </si>
  <si>
    <t>D - Despesa com ICMS</t>
  </si>
  <si>
    <t>C - ICMS a recolher</t>
  </si>
  <si>
    <t>Pelo ICMS</t>
  </si>
  <si>
    <t>D - CMV</t>
  </si>
  <si>
    <t>C - Estoques</t>
  </si>
  <si>
    <t>Pelo Estoque</t>
  </si>
  <si>
    <t>D - Juros a apropriar</t>
  </si>
  <si>
    <t>C - Receita Financeira</t>
  </si>
  <si>
    <t>D - Bancos</t>
  </si>
  <si>
    <t>C - Clientes</t>
  </si>
  <si>
    <t>3. Questão - Material de Suprimentos</t>
  </si>
  <si>
    <t>D - Estoque de almoxarifado (Resma de papel)</t>
  </si>
  <si>
    <t>D - Estoque de almoxarifado (Tonner)</t>
  </si>
  <si>
    <t>Pelo cálculo da imparidade</t>
  </si>
  <si>
    <t xml:space="preserve">D - Despesas  por imparidade </t>
  </si>
  <si>
    <t>D - Despesas  por imparidade</t>
  </si>
  <si>
    <t>Pelo Frete</t>
  </si>
  <si>
    <t>D - Despesa com frete</t>
  </si>
  <si>
    <t>D - Despesas com seguros</t>
  </si>
  <si>
    <t>C - Seguros a apropriar</t>
  </si>
  <si>
    <t>Total</t>
  </si>
  <si>
    <t>D - Ações (CP) Petrobrás</t>
  </si>
  <si>
    <t>D - Ações (CP) Vale</t>
  </si>
  <si>
    <t>D - Ações (CP) Ambev</t>
  </si>
  <si>
    <t>C - Receita financeira</t>
  </si>
  <si>
    <t>D - Despesa Financeira</t>
  </si>
  <si>
    <t>C - Ações (CP) Vale</t>
  </si>
  <si>
    <t>Outubro</t>
  </si>
  <si>
    <t>Novembro</t>
  </si>
  <si>
    <t>C - Ações (CP) petrobrás</t>
  </si>
  <si>
    <t>C - Ações (CP) Petrobrás</t>
  </si>
  <si>
    <t>C - Ações (CP) Ambev</t>
  </si>
  <si>
    <t>D - Adiantamento a funcionários (Maria)</t>
  </si>
  <si>
    <t>D - Adiantamento a funcionários (João)</t>
  </si>
  <si>
    <t>9. Questão - Ativos não  circulantes disponíveis para vendas</t>
  </si>
  <si>
    <t>D - Despesa com depreciação</t>
  </si>
  <si>
    <t>C - Depreciação acumulada</t>
  </si>
  <si>
    <t>D - Depreciação acumulada</t>
  </si>
  <si>
    <t>C - Veículos</t>
  </si>
  <si>
    <t>10. Questão - Despesas anuais administrativas</t>
  </si>
  <si>
    <t>D - Despesas administrativas</t>
  </si>
  <si>
    <t>11. Questão - Duplicatas descontadas</t>
  </si>
  <si>
    <t>11. Depreciação</t>
  </si>
  <si>
    <t>C - Depreciação acumulada sala comercial</t>
  </si>
  <si>
    <t>12. Imparidade</t>
  </si>
  <si>
    <t>D - Despesa com material de consumo (Resma de papel)</t>
  </si>
  <si>
    <t>C - Estoque de almoxarifado (Resma de papel)</t>
  </si>
  <si>
    <t>D - Despesa com material de consumo (Tonner)</t>
  </si>
  <si>
    <t>C - Estoque de almoxarifado (Tonner)</t>
  </si>
  <si>
    <t>-</t>
  </si>
  <si>
    <t>D - Adiantamento a funcionários (Pedro)</t>
  </si>
  <si>
    <t>8. Questão - Adiantamento a funcionários</t>
  </si>
  <si>
    <t>D - IR a pagar</t>
  </si>
  <si>
    <t>D - CSLL a pagar</t>
  </si>
  <si>
    <t>D - ICMS a pagar</t>
  </si>
  <si>
    <t>D - Dividendos a pagar</t>
  </si>
  <si>
    <t>13. Lançamentos do exercício anterior</t>
  </si>
  <si>
    <t>D - Ativos não circulantes disp venda (circulante)</t>
  </si>
  <si>
    <t>D - Despesas com ICMS</t>
  </si>
  <si>
    <t>D - Despesas com Material de Consumo Tonner</t>
  </si>
  <si>
    <t>D - Despesas com Material de consumo Resma</t>
  </si>
  <si>
    <t>D - Despesass por Imparidade - Estoques</t>
  </si>
  <si>
    <t xml:space="preserve">D - Despesas com Frete </t>
  </si>
  <si>
    <t>D - Despesas com Seguros</t>
  </si>
  <si>
    <t>D - Despesas Financeiras</t>
  </si>
  <si>
    <t>D - Despesas com Depreciação</t>
  </si>
  <si>
    <t>D - Despesas Administrativas</t>
  </si>
  <si>
    <t>C - Receitas com Vendas</t>
  </si>
  <si>
    <t>C - Receitas Financeiras</t>
  </si>
  <si>
    <t>D - ARE</t>
  </si>
  <si>
    <t>C - Lucros Acumulados</t>
  </si>
  <si>
    <t>D - Lucros Acumulados</t>
  </si>
  <si>
    <t>C - IRPJ</t>
  </si>
  <si>
    <t>Sub Total</t>
  </si>
  <si>
    <t>C - CSLL</t>
  </si>
  <si>
    <t>Distribuição do Lucros</t>
  </si>
  <si>
    <t>Lucro Líquido do Exercício</t>
  </si>
  <si>
    <t>(-) Reserva Legal</t>
  </si>
  <si>
    <t>(-) 60% Dividendos</t>
  </si>
  <si>
    <t>(-) Reserva Estatutária</t>
  </si>
  <si>
    <t>Cálculo dos Dividendos</t>
  </si>
  <si>
    <t>Cálculo da Reserva de Retenção de Lucros</t>
  </si>
  <si>
    <t>(-) Dividendos</t>
  </si>
  <si>
    <t>C - Reserva Legal</t>
  </si>
  <si>
    <t>C - Reserva Estatutária</t>
  </si>
  <si>
    <t>C - Reserva de Retenção de Lucros</t>
  </si>
  <si>
    <t>Valor da reserva de retenção de lucros</t>
  </si>
  <si>
    <t>C - Dividendos a distribuir</t>
  </si>
  <si>
    <t>Mobiliários</t>
  </si>
  <si>
    <t>Veículo 1</t>
  </si>
  <si>
    <t>Equipamentos 2</t>
  </si>
  <si>
    <t>Equipamentos 1</t>
  </si>
  <si>
    <t>Sala comercial (edificações)</t>
  </si>
  <si>
    <t>Depreciação</t>
  </si>
  <si>
    <t>Vida útil estimada (anos)</t>
  </si>
  <si>
    <t>Custo Histórico</t>
  </si>
  <si>
    <t>Imobilizado</t>
  </si>
  <si>
    <t>Exercício 2012</t>
  </si>
  <si>
    <t>CUSTO TOTAL</t>
  </si>
  <si>
    <t xml:space="preserve">(-) ICMS </t>
  </si>
  <si>
    <t>COMPRA 2</t>
  </si>
  <si>
    <t>COMPRA 1</t>
  </si>
  <si>
    <t>V.T.</t>
  </si>
  <si>
    <t>VALOR UNIT.</t>
  </si>
  <si>
    <t>QT.</t>
  </si>
  <si>
    <t>SALDO FINAL</t>
  </si>
  <si>
    <t>SAÍDA</t>
  </si>
  <si>
    <t>SALDO INICIAL</t>
  </si>
  <si>
    <t>Bancos</t>
  </si>
  <si>
    <t>Clientes</t>
  </si>
  <si>
    <t>Máquinas e Equipamentos</t>
  </si>
  <si>
    <t>Veículos</t>
  </si>
  <si>
    <t>Móveis e Utensílios</t>
  </si>
  <si>
    <t>ICMS a Pagar</t>
  </si>
  <si>
    <t>Imposto de Renda</t>
  </si>
  <si>
    <t>Capital Social Integralizado</t>
  </si>
  <si>
    <t>Reserva Legal</t>
  </si>
  <si>
    <t>Controle da Receita Líquida</t>
  </si>
  <si>
    <t>Receita Bruta</t>
  </si>
  <si>
    <t>Deduções da Receita Bruta:</t>
  </si>
  <si>
    <t>Desp. Com ICMS</t>
  </si>
  <si>
    <t>(</t>
  </si>
  <si>
    <t>)</t>
  </si>
  <si>
    <t>Receita Liquida</t>
  </si>
  <si>
    <t>Nome da Empresa</t>
  </si>
  <si>
    <t>Demonstração do Resultado</t>
  </si>
  <si>
    <t>Exercício findo em 31 de dezembro de x2</t>
  </si>
  <si>
    <t>(Expressa em R$)</t>
  </si>
  <si>
    <t>Receitas</t>
  </si>
  <si>
    <t>(-) CMV</t>
  </si>
  <si>
    <t>Lucro Bruto</t>
  </si>
  <si>
    <t>Desp. Comerciais</t>
  </si>
  <si>
    <t>Desp. c/ propaganda</t>
  </si>
  <si>
    <t>Desp. c/ treinamento</t>
  </si>
  <si>
    <t xml:space="preserve">Desp. Administrativas </t>
  </si>
  <si>
    <t>Desp. c/ seguro</t>
  </si>
  <si>
    <t>Desp. c/ frete</t>
  </si>
  <si>
    <t>Desp. c/ depreciação</t>
  </si>
  <si>
    <t>Desp. manutenção</t>
  </si>
  <si>
    <t>Desp. energia</t>
  </si>
  <si>
    <t>Desp. salários</t>
  </si>
  <si>
    <t>Lucro Operacional</t>
  </si>
  <si>
    <t>Receita Financeira</t>
  </si>
  <si>
    <t>Despesa  Financeira</t>
  </si>
  <si>
    <t>Resultado Financeiro Líquido</t>
  </si>
  <si>
    <t>Lucro antes do imposto de renda e contribuição social</t>
  </si>
  <si>
    <t>Desp. c/ IR</t>
  </si>
  <si>
    <t>Desp. c/ CSLL</t>
  </si>
  <si>
    <t>BASE DE CÁLCULO DAS RESERVAS</t>
  </si>
  <si>
    <t>BASE DE CÁLCULO DOS DIVIDENDOS</t>
  </si>
  <si>
    <t>Lucro líquido do exercício</t>
  </si>
  <si>
    <t>Lucro líquido do exercicio</t>
  </si>
  <si>
    <t>(-) 5% para reserva legal</t>
  </si>
  <si>
    <t>Saldo</t>
  </si>
  <si>
    <t>(-) 60% dividendos</t>
  </si>
  <si>
    <t>Balanço Patrimonial</t>
  </si>
  <si>
    <t>Exercício findo em 31 de dezembro de 2012</t>
  </si>
  <si>
    <t>ATIVO</t>
  </si>
  <si>
    <t>Classificação</t>
  </si>
  <si>
    <t>Variação</t>
  </si>
  <si>
    <t>Evento</t>
  </si>
  <si>
    <t>PASSIVO E PATRIMÔNIO LÍQUIDO</t>
  </si>
  <si>
    <t>Ativo Circulante</t>
  </si>
  <si>
    <t>1.01</t>
  </si>
  <si>
    <t>Passivo Circulante</t>
  </si>
  <si>
    <t>2.01</t>
  </si>
  <si>
    <t>Caixa e Equivalentes a caixa</t>
  </si>
  <si>
    <t>1.01.01</t>
  </si>
  <si>
    <t>Empréstimos e Financiamentos</t>
  </si>
  <si>
    <t>2.01.01</t>
  </si>
  <si>
    <t>1.01.01.02.00</t>
  </si>
  <si>
    <t>Duplicatas Descontadas</t>
  </si>
  <si>
    <t>2.01.01.01.00</t>
  </si>
  <si>
    <t>1.01.01.02.01</t>
  </si>
  <si>
    <t>2.01.01.01.01</t>
  </si>
  <si>
    <t>1.01.02</t>
  </si>
  <si>
    <t>(-) Juros a apropriar</t>
  </si>
  <si>
    <t>2.01.01.01.02</t>
  </si>
  <si>
    <t>1.01.02.01.00</t>
  </si>
  <si>
    <t>Obrigações Trabalhistas</t>
  </si>
  <si>
    <t>2.01.03</t>
  </si>
  <si>
    <t>1.01.02.01.01</t>
  </si>
  <si>
    <t>Folha de Pagamento - Dirigentes</t>
  </si>
  <si>
    <t>2.01.03.04.00</t>
  </si>
  <si>
    <t>Estoques</t>
  </si>
  <si>
    <t>1.01.05</t>
  </si>
  <si>
    <t>Dividendos a Pagar</t>
  </si>
  <si>
    <t>2.01.03.04.02</t>
  </si>
  <si>
    <t>Estoque de mercadoria</t>
  </si>
  <si>
    <t>1.01.05.01.00</t>
  </si>
  <si>
    <t>Obrigações Tributárias</t>
  </si>
  <si>
    <t>2.01.04</t>
  </si>
  <si>
    <t>Mercadorias para revenda</t>
  </si>
  <si>
    <t>1.01.05.01.01</t>
  </si>
  <si>
    <t>Impostos e Contribuição S/ o Lucro</t>
  </si>
  <si>
    <t>2.01.04.02.00</t>
  </si>
  <si>
    <t>Despesas Antecipadas</t>
  </si>
  <si>
    <t>1.01.06</t>
  </si>
  <si>
    <t>2.01.04.02.01</t>
  </si>
  <si>
    <t>Seguros à apropriar</t>
  </si>
  <si>
    <t>1.01.06.01.00</t>
  </si>
  <si>
    <t>Contrib. Social s/Lucro Líquido</t>
  </si>
  <si>
    <t>2.01.04.02.02</t>
  </si>
  <si>
    <t>Seguros prédios/bens/estoques</t>
  </si>
  <si>
    <t>1.01.06.01.02</t>
  </si>
  <si>
    <t>Impostos e Contribuições S/ Receitas</t>
  </si>
  <si>
    <t>2.01.04.03.00</t>
  </si>
  <si>
    <t>2.01.04.03.02</t>
  </si>
  <si>
    <t>TOTAL DO CIRCULANTE</t>
  </si>
  <si>
    <t>TOTAL DO PASSIVO</t>
  </si>
  <si>
    <t>Ativo Não Circulante</t>
  </si>
  <si>
    <t>1.02</t>
  </si>
  <si>
    <t>1.02.02</t>
  </si>
  <si>
    <t>1.02.02.01.02</t>
  </si>
  <si>
    <t>Patrimônio Líquido</t>
  </si>
  <si>
    <t>2.03</t>
  </si>
  <si>
    <t>1.02.03</t>
  </si>
  <si>
    <t>Capital Social</t>
  </si>
  <si>
    <t>2.03.01</t>
  </si>
  <si>
    <t>1.02.03.01.00</t>
  </si>
  <si>
    <t>2.03.01.01.00</t>
  </si>
  <si>
    <t>Edifícios e Contruções</t>
  </si>
  <si>
    <t>1.02.03.01.01</t>
  </si>
  <si>
    <t>2.03.01.01.01</t>
  </si>
  <si>
    <t>1.02.03.01.02</t>
  </si>
  <si>
    <t>Reservas</t>
  </si>
  <si>
    <t>2.03.02</t>
  </si>
  <si>
    <t>1.02.03.01.03</t>
  </si>
  <si>
    <t>Reservas de Lucro</t>
  </si>
  <si>
    <t>2.03.02.01.00</t>
  </si>
  <si>
    <t>1.02.03.01.04</t>
  </si>
  <si>
    <t>Reseva Legal</t>
  </si>
  <si>
    <t>2.03.02.01.01</t>
  </si>
  <si>
    <t>(-)Depreciação Acumulada</t>
  </si>
  <si>
    <t>1.02.03.04.00</t>
  </si>
  <si>
    <t>Reservas de Retenção de Lucros</t>
  </si>
  <si>
    <t>2.03.02.01.02</t>
  </si>
  <si>
    <t>(-) Deprec. de Edificações</t>
  </si>
  <si>
    <t>1.02.03.04.01</t>
  </si>
  <si>
    <t>Reservas de Capital</t>
  </si>
  <si>
    <t>2.03.02.03.00</t>
  </si>
  <si>
    <t>(-) Deprec. de Máquinas e Equipamentos</t>
  </si>
  <si>
    <t>1.02.03.04.02</t>
  </si>
  <si>
    <t xml:space="preserve"> Ágio na emissão de ações</t>
  </si>
  <si>
    <t>2.03.02.03.01</t>
  </si>
  <si>
    <t>(-) Deprec. de Veículos</t>
  </si>
  <si>
    <t>1.02.03.04.03</t>
  </si>
  <si>
    <t>(-) Deprec. de Móveis e Utensílios</t>
  </si>
  <si>
    <t>1.02.03.04.04</t>
  </si>
  <si>
    <t>TOTAL DO NÃO CIRCULANTE</t>
  </si>
  <si>
    <t>TOTAL DO PATRIMÔNIO LÍQUIDO</t>
  </si>
  <si>
    <t>Total Ativo</t>
  </si>
  <si>
    <t>Total Passivo + Patrimônio Líquido</t>
  </si>
  <si>
    <t>Demonstração das Mutações do Patrimônio Líquido</t>
  </si>
  <si>
    <t>RESERVA DE CAPITAL</t>
  </si>
  <si>
    <t>RESERVAS DE LUCRO</t>
  </si>
  <si>
    <t>Eventos</t>
  </si>
  <si>
    <t>Ágio na emissão de ações</t>
  </si>
  <si>
    <t>Reserva de retenção de lucros</t>
  </si>
  <si>
    <t>Saldo Anterior</t>
  </si>
  <si>
    <t>Aumento de capital</t>
  </si>
  <si>
    <t>Ajuste PL</t>
  </si>
  <si>
    <t>Lucro líquido exercício</t>
  </si>
  <si>
    <t>Destinação das reservas</t>
  </si>
  <si>
    <t>Reserva Estatutária</t>
  </si>
  <si>
    <t>Distribuição de Dividendos</t>
  </si>
  <si>
    <t>(-) JUROS</t>
  </si>
  <si>
    <t>VALOR DA MERCADORIA (VF)</t>
  </si>
  <si>
    <t>VALOR DA MERCADORIA (VP)</t>
  </si>
  <si>
    <t>(+) GASTOS ADICIONAIS</t>
  </si>
  <si>
    <t>(+) FRETE FOB</t>
  </si>
  <si>
    <t>Juros mês 1</t>
  </si>
  <si>
    <t>Juros mês 2</t>
  </si>
  <si>
    <t>Juros mês 3</t>
  </si>
  <si>
    <t>Juros mês 4</t>
  </si>
  <si>
    <t>Juros mês 5</t>
  </si>
  <si>
    <t>Juros mês 6</t>
  </si>
  <si>
    <t>Juros mês 7</t>
  </si>
  <si>
    <t>Resmas</t>
  </si>
  <si>
    <t>Tonner</t>
  </si>
  <si>
    <t>TOTAL</t>
  </si>
  <si>
    <t>V. Recompra</t>
  </si>
  <si>
    <t>Perda</t>
  </si>
  <si>
    <t>Perda Total</t>
  </si>
  <si>
    <t>Valor de Fechamento de Balanço</t>
  </si>
  <si>
    <t>C -  Estoque de almoxarifado (Resma de papel)</t>
  </si>
  <si>
    <t>(+) IMPOSTO DE IMPORTAÇÃO</t>
  </si>
  <si>
    <t>VF Dezembro</t>
  </si>
  <si>
    <t>Juros de 2013</t>
  </si>
  <si>
    <t>D - Juros a Apropriar (redutora de fornecedores)</t>
  </si>
  <si>
    <t>C - Juros a Apropriar (redutora de clientes)</t>
  </si>
  <si>
    <t>Compra 1</t>
  </si>
  <si>
    <t>Compra 2</t>
  </si>
  <si>
    <t>Memória de cálculo</t>
  </si>
  <si>
    <t>VP dos valores a receber</t>
  </si>
  <si>
    <t>VF em 31 de ddezembro</t>
  </si>
  <si>
    <t>Juros apropriados no exercício</t>
  </si>
  <si>
    <t>D - Ações (LP) Gerdau</t>
  </si>
  <si>
    <t>Dezembro LP</t>
  </si>
  <si>
    <t>C - Ajuste de Avaliação Patrimonial (AAP)</t>
  </si>
  <si>
    <t/>
  </si>
  <si>
    <t>Procedimentos para alienação do Veículo 1</t>
  </si>
  <si>
    <t>2) Depreciação em 2012</t>
  </si>
  <si>
    <t>3) Depreciação Total (2012+2013)</t>
  </si>
  <si>
    <t>4) Custo Histórico</t>
  </si>
  <si>
    <t>5) Valor Contábil Líquido</t>
  </si>
  <si>
    <t>Gastos estimados com manutenção</t>
  </si>
  <si>
    <t>Outras despesas com venda (comissão)</t>
  </si>
  <si>
    <t>Valor estimado de venda</t>
  </si>
  <si>
    <t>Valor estimado de venda (líquido)</t>
  </si>
  <si>
    <t>D - Despesa com depreciação (2013)</t>
  </si>
  <si>
    <t>D - Juros s/ Descontos de Duplicatas</t>
  </si>
  <si>
    <t>D - Duplicatas descontas (passivo)</t>
  </si>
  <si>
    <t>C - Clientes (ativo)</t>
  </si>
  <si>
    <t>C - Depreciação acumulada equipamentos 1</t>
  </si>
  <si>
    <t>C - Depreciação acumulada equipamentos 2</t>
  </si>
  <si>
    <t>C - Depreciação acumulada Mobiliário</t>
  </si>
  <si>
    <t>Imparidade dos Suprimentos - Já lançado!!</t>
  </si>
  <si>
    <t>Saldo após reserva legal</t>
  </si>
  <si>
    <t>(-) 10% para reserva estatutária</t>
  </si>
  <si>
    <t>Conferência</t>
  </si>
  <si>
    <t>Exercício findo em 31 de dezembro de 2013</t>
  </si>
  <si>
    <t>2013</t>
  </si>
  <si>
    <t>Não há imparidade dos chocolates!!</t>
  </si>
  <si>
    <t>Luc.ou Prej. Acum.</t>
  </si>
  <si>
    <t>Ajuste de Avaliação Patrimonial</t>
  </si>
  <si>
    <t>Perdas com redução ao valor recuperável de estoques</t>
  </si>
  <si>
    <t>Desp. c/ material de consumo</t>
  </si>
  <si>
    <t>C - ICMS a Recuperar</t>
  </si>
  <si>
    <t>D - ICMS a Pagar</t>
  </si>
  <si>
    <t>14. Apuração do ICMS</t>
  </si>
  <si>
    <t>15. ARE</t>
  </si>
  <si>
    <t>Ajuste Avaliação Patrimonial</t>
  </si>
  <si>
    <t>Ativos financeiros disponíveis para venda</t>
  </si>
  <si>
    <t>Reserva de Retenção de Lucros</t>
  </si>
  <si>
    <t>NOTA</t>
  </si>
  <si>
    <t>Aplicações Financeiras</t>
  </si>
  <si>
    <t>Fornecedores</t>
  </si>
  <si>
    <t>2.01.02</t>
  </si>
  <si>
    <t>Ações Petrobrás</t>
  </si>
  <si>
    <t>1.01.02.02.01</t>
  </si>
  <si>
    <t>2.01.02.01.00</t>
  </si>
  <si>
    <t>Ações Vale</t>
  </si>
  <si>
    <t>1.01.02.02.02</t>
  </si>
  <si>
    <t>2.01.02.01.01</t>
  </si>
  <si>
    <t>Ações Ambev</t>
  </si>
  <si>
    <t>1.01.02.02.03</t>
  </si>
  <si>
    <t>2.01.02.01.02</t>
  </si>
  <si>
    <t>1.01.03</t>
  </si>
  <si>
    <t>1.01.03.01.00</t>
  </si>
  <si>
    <t>1.01.03.01.01</t>
  </si>
  <si>
    <t>2.01.03.01.00</t>
  </si>
  <si>
    <t xml:space="preserve">(-) JUROS A APROPRIAR </t>
  </si>
  <si>
    <t>1.01.03.02.00</t>
  </si>
  <si>
    <t>2.01.03.01.01</t>
  </si>
  <si>
    <t xml:space="preserve">(-) Juros a Apropriar </t>
  </si>
  <si>
    <t>1.01.03.02.01</t>
  </si>
  <si>
    <t>Adiantamentos</t>
  </si>
  <si>
    <t>1.01.04</t>
  </si>
  <si>
    <t>2.01.04.01.00</t>
  </si>
  <si>
    <t>Adiantamentos a Funcionários e Sócios</t>
  </si>
  <si>
    <t xml:space="preserve">1.01.04.01.00 </t>
  </si>
  <si>
    <t>2.01.04.01.01</t>
  </si>
  <si>
    <t>Adiantamento de Salários</t>
  </si>
  <si>
    <t>1.01.04.01.01</t>
  </si>
  <si>
    <t>2.01.04.01.02</t>
  </si>
  <si>
    <t>Estoque de Suprimentos</t>
  </si>
  <si>
    <t>1.01.05.02.00</t>
  </si>
  <si>
    <t>1.01.05.02.01</t>
  </si>
  <si>
    <t>Resmas de Papel</t>
  </si>
  <si>
    <t>1.01.05.02.02</t>
  </si>
  <si>
    <t>Ativo Não Circulante Disponível para Venda</t>
  </si>
  <si>
    <t>1.01.07</t>
  </si>
  <si>
    <t>1.01.07.01.00</t>
  </si>
  <si>
    <t>1.01.07.01.01</t>
  </si>
  <si>
    <t>1.02.01</t>
  </si>
  <si>
    <t>1.02.01.01.00</t>
  </si>
  <si>
    <t>Ações Gerdau</t>
  </si>
  <si>
    <t>1.02.01.01.01</t>
  </si>
  <si>
    <t>1.02.02.01.00</t>
  </si>
  <si>
    <t>Reseva Estatutária</t>
  </si>
  <si>
    <t>2.03.02.01.03</t>
  </si>
  <si>
    <t>Ajuste de avaliação patrimonial</t>
  </si>
  <si>
    <t>2.03.03</t>
  </si>
  <si>
    <t>2.03.03.01.00</t>
  </si>
  <si>
    <t>2.03.03.01.01</t>
  </si>
  <si>
    <t>Mercadorias para Revenda</t>
  </si>
  <si>
    <t>Edifícios e Construções</t>
  </si>
  <si>
    <t>Depreciação acumulada</t>
  </si>
  <si>
    <t>Ativos não circulantes disponíveis para venda</t>
  </si>
  <si>
    <t>Seguros Prédios/Bens/Estoques</t>
  </si>
  <si>
    <t>ICMS a recuperar</t>
  </si>
  <si>
    <t>Juros a Apropriar - Clientes</t>
  </si>
  <si>
    <t>Almoxarifado - Resma de Papel</t>
  </si>
  <si>
    <t>Almoxarifado - Tonner</t>
  </si>
  <si>
    <t>Ações(CP) Petróbras</t>
  </si>
  <si>
    <t>Ações (CP) Vale</t>
  </si>
  <si>
    <t>Ações (CP) Ambev</t>
  </si>
  <si>
    <t>Ações (LP) Gerdau</t>
  </si>
  <si>
    <t>Adiantamentos a Funcionários</t>
  </si>
  <si>
    <t>(2.2)</t>
  </si>
  <si>
    <t>(2.4)</t>
  </si>
  <si>
    <t>(9.1)</t>
  </si>
  <si>
    <t>(9)</t>
  </si>
  <si>
    <t>(9.2)</t>
  </si>
  <si>
    <t>(6)</t>
  </si>
  <si>
    <t>(14)</t>
  </si>
  <si>
    <t>(2.3)</t>
  </si>
  <si>
    <t>(2)</t>
  </si>
  <si>
    <t>(3.1)</t>
  </si>
  <si>
    <t>(7)</t>
  </si>
  <si>
    <t>(7.7)</t>
  </si>
  <si>
    <t>(7.1)</t>
  </si>
  <si>
    <t>(7.4)</t>
  </si>
  <si>
    <t>(7.2)</t>
  </si>
  <si>
    <t>(7.6)</t>
  </si>
  <si>
    <t>(7.13)</t>
  </si>
  <si>
    <t>(8)</t>
  </si>
  <si>
    <t>(1.2)</t>
  </si>
  <si>
    <t>(5.2)</t>
  </si>
  <si>
    <t>(11)</t>
  </si>
  <si>
    <t>(11.1)</t>
  </si>
  <si>
    <t>(5.4)</t>
  </si>
  <si>
    <t>(5)</t>
  </si>
  <si>
    <t>(3.2)</t>
  </si>
  <si>
    <t>(7.3)</t>
  </si>
  <si>
    <t>(7.11)</t>
  </si>
  <si>
    <t>(7.8)</t>
  </si>
  <si>
    <t>(7.5)</t>
  </si>
  <si>
    <t>(7.14)</t>
  </si>
  <si>
    <t>(8.1)</t>
  </si>
  <si>
    <t>(7.9)</t>
  </si>
  <si>
    <t>(7.10)</t>
  </si>
  <si>
    <t>(8.2)</t>
  </si>
  <si>
    <t>(7.12)</t>
  </si>
  <si>
    <t>(5.3)</t>
  </si>
  <si>
    <t>(10)</t>
  </si>
  <si>
    <t>(13)</t>
  </si>
  <si>
    <t>ok</t>
  </si>
  <si>
    <t>Salários a pagar</t>
  </si>
  <si>
    <t>Empréstimos</t>
  </si>
  <si>
    <t>Juros a Apropriar - Fornecedores</t>
  </si>
  <si>
    <t>Duplicatas descontadas</t>
  </si>
  <si>
    <t>Dividendos a pagar</t>
  </si>
  <si>
    <t>Contrib. Social s/ Lucro Líquido a Pagar</t>
  </si>
  <si>
    <t>Juros a Apropriar - Dup. Descontadas</t>
  </si>
  <si>
    <t>(1)</t>
  </si>
  <si>
    <t>(1.1)</t>
  </si>
  <si>
    <t>(4)</t>
  </si>
  <si>
    <t>(2.1)</t>
  </si>
  <si>
    <t>(4.1)</t>
  </si>
  <si>
    <t>(18)</t>
  </si>
  <si>
    <t>(16)</t>
  </si>
  <si>
    <t>(5.1)</t>
  </si>
  <si>
    <t>Reserva de capital - Ágio</t>
  </si>
  <si>
    <t>Lucro ou Prejuízo acumulado</t>
  </si>
  <si>
    <t>Retenção de lucro</t>
  </si>
  <si>
    <t>(17)</t>
  </si>
  <si>
    <t>(19)</t>
  </si>
  <si>
    <t>(20)</t>
  </si>
  <si>
    <t>Material de Consumo</t>
  </si>
  <si>
    <t>Custo das Mercadorias Vendidas</t>
  </si>
  <si>
    <t>ICMS sobre Vendas</t>
  </si>
  <si>
    <t>Contribuição Social sobre o Lucro Líquido</t>
  </si>
  <si>
    <t>Imposto de Renda Pessoa Jurídica</t>
  </si>
  <si>
    <t>Despesas com Manuntenção</t>
  </si>
  <si>
    <t>Despesa com Salários</t>
  </si>
  <si>
    <t>Despesas com frete</t>
  </si>
  <si>
    <t>Depreciação e Amortização</t>
  </si>
  <si>
    <t>Despesas com Seguros</t>
  </si>
  <si>
    <t>Despesas Financeiras</t>
  </si>
  <si>
    <t>Despesa com Imparidade</t>
  </si>
  <si>
    <t>Despesa com Energia</t>
  </si>
  <si>
    <t>(15)</t>
  </si>
  <si>
    <t>CSLL</t>
  </si>
  <si>
    <t>IR</t>
  </si>
  <si>
    <t>Revenda de Mercadorias</t>
  </si>
  <si>
    <t>(15.1)</t>
  </si>
  <si>
    <t>Resultado Líquido do Período</t>
  </si>
  <si>
    <t>IR(16)</t>
  </si>
  <si>
    <t>CSLL(16)</t>
  </si>
  <si>
    <t>Nota</t>
  </si>
  <si>
    <t>FIM DE 2012</t>
  </si>
  <si>
    <t>FRETE CIF</t>
  </si>
  <si>
    <t>Juros mês 8</t>
  </si>
  <si>
    <t>Julho</t>
  </si>
  <si>
    <t>Agosto</t>
  </si>
  <si>
    <t>Memória de Cálculo</t>
  </si>
  <si>
    <t>Valor de custo</t>
  </si>
  <si>
    <t>Valor de  mercado</t>
  </si>
  <si>
    <t>Como o valor de mercado &gt; valor de custo, não há imparidade !</t>
  </si>
  <si>
    <t>Janeiro</t>
  </si>
  <si>
    <t>Fevereiro</t>
  </si>
  <si>
    <t>1) Depreciação em 2013 (até novembro)</t>
  </si>
  <si>
    <t>Resultado Abrangente do Período</t>
  </si>
  <si>
    <t>Demonstração do Resultado Abrangente</t>
  </si>
  <si>
    <t>AAP</t>
  </si>
  <si>
    <t xml:space="preserve"> Período </t>
  </si>
  <si>
    <t xml:space="preserve">Variação </t>
  </si>
  <si>
    <t>(20X2 – 20X1)</t>
  </si>
  <si>
    <t xml:space="preserve"> Caixa (*)</t>
  </si>
  <si>
    <t xml:space="preserve">Total do Ativo Operacional </t>
  </si>
  <si>
    <t>Atividades de Investimentos</t>
  </si>
  <si>
    <t>Total dos Investimentos</t>
  </si>
  <si>
    <t>Total do Imobilizado</t>
  </si>
  <si>
    <t>Total do Intangível</t>
  </si>
  <si>
    <t>Atividades de financiamentos</t>
  </si>
  <si>
    <t xml:space="preserve">  </t>
  </si>
  <si>
    <t xml:space="preserve">Contas </t>
  </si>
  <si>
    <t>Entrada</t>
  </si>
  <si>
    <t>Saída</t>
  </si>
  <si>
    <t>Estoques - Produtos para Revenda</t>
  </si>
  <si>
    <t>Estoques - Almoxarifado</t>
  </si>
  <si>
    <t>Perdas estimadas c/ imparidade</t>
  </si>
  <si>
    <t>Juros a Apropriar</t>
  </si>
  <si>
    <t>Despesas pagas antecipadamente</t>
  </si>
  <si>
    <t>ICMS a Recolher</t>
  </si>
  <si>
    <t>CSLL a Pagar</t>
  </si>
  <si>
    <t>IR a Pagar</t>
  </si>
  <si>
    <t>Despesa Financeira</t>
  </si>
  <si>
    <t>Despesa c/ Imparidade</t>
  </si>
  <si>
    <t xml:space="preserve">        Imobilizado</t>
  </si>
  <si>
    <t xml:space="preserve">       Ativo não circulante mantido p/ venda</t>
  </si>
  <si>
    <t xml:space="preserve">        Aquisição de equipamentos</t>
  </si>
  <si>
    <t xml:space="preserve">        Baixa de veículos</t>
  </si>
  <si>
    <t xml:space="preserve">        Despesa de depreciação </t>
  </si>
  <si>
    <t xml:space="preserve">Sub total (entradas – saídas) </t>
  </si>
  <si>
    <t xml:space="preserve">        Investimentos</t>
  </si>
  <si>
    <t xml:space="preserve">       Adiantamento a funcionários</t>
  </si>
  <si>
    <t>Sub total (entradas – saídas)</t>
  </si>
  <si>
    <t>Passivos não operacionais</t>
  </si>
  <si>
    <t xml:space="preserve">       Dividendos a pagar</t>
  </si>
  <si>
    <t xml:space="preserve">       Contas a pagar </t>
  </si>
  <si>
    <t xml:space="preserve">       Pagamento de contas a pagar </t>
  </si>
  <si>
    <t xml:space="preserve">       Despesas com juros </t>
  </si>
  <si>
    <t>Sub Total (entradas – saídas)</t>
  </si>
  <si>
    <t xml:space="preserve">Ajustes para reconciliar o lucro ao fluxo de caixa operacional </t>
  </si>
  <si>
    <t>(+) Despesa com Depreciação (*)</t>
  </si>
  <si>
    <t>(+) Despesa com Imparidade</t>
  </si>
  <si>
    <t>(+) Perda no mercado financeiro</t>
  </si>
  <si>
    <t>(-) Ganho no merado financeiro</t>
  </si>
  <si>
    <t>(-) Apropriação de juros (fornecedores)</t>
  </si>
  <si>
    <t>(+) Apropriação de juros (Clientes)</t>
  </si>
  <si>
    <t>Lucro líquido ajustado</t>
  </si>
  <si>
    <t>Variação de ativos e passivos operacionais</t>
  </si>
  <si>
    <t>Aumento dos estoques</t>
  </si>
  <si>
    <t>Aumento dos estoques - almoxarifado</t>
  </si>
  <si>
    <t>Instrumentros Financeiros - ações</t>
  </si>
  <si>
    <t>Aumento dos clientes</t>
  </si>
  <si>
    <r>
      <t xml:space="preserve">Redução das despesas </t>
    </r>
    <r>
      <rPr>
        <sz val="10"/>
        <rFont val="Calibri"/>
        <family val="2"/>
      </rPr>
      <t>pagas antecipadamente</t>
    </r>
  </si>
  <si>
    <t>Redução duplicatas descontadas</t>
  </si>
  <si>
    <t>Aumento de fornecedores</t>
  </si>
  <si>
    <r>
      <t xml:space="preserve">Aumento do saldo de </t>
    </r>
    <r>
      <rPr>
        <sz val="10"/>
        <rFont val="Calibri"/>
        <family val="2"/>
      </rPr>
      <t>ICMS a recolher</t>
    </r>
  </si>
  <si>
    <r>
      <t xml:space="preserve">Redução do </t>
    </r>
    <r>
      <rPr>
        <sz val="10"/>
        <rFont val="Calibri"/>
        <family val="2"/>
      </rPr>
      <t>IR a pagar</t>
    </r>
  </si>
  <si>
    <r>
      <t>Redução do CSLL</t>
    </r>
    <r>
      <rPr>
        <sz val="10"/>
        <rFont val="Calibri"/>
        <family val="2"/>
      </rPr>
      <t xml:space="preserve"> a pagar</t>
    </r>
  </si>
  <si>
    <t>Caixa líquido gerado pelas atividades operacionais (1)</t>
  </si>
  <si>
    <t>Ativo não circulante mantido p/ venda</t>
  </si>
  <si>
    <t>Aumento de Adiantamento a Funcionários</t>
  </si>
  <si>
    <t>Baixa de veículos</t>
  </si>
  <si>
    <t>Caixa líquido gerado pelas atividades de investimentos (2)</t>
  </si>
  <si>
    <t xml:space="preserve">Dividendos a pagar </t>
  </si>
  <si>
    <t>Redução do lucro para distribuição dividendos</t>
  </si>
  <si>
    <t>Caixa líquido gerado pelas atividades de financiamentos (3)</t>
  </si>
  <si>
    <t>Aumento do Caixa (1)+(2)+(3)</t>
  </si>
  <si>
    <t>Atividade</t>
  </si>
  <si>
    <t>OPER</t>
  </si>
  <si>
    <t>INVEST</t>
  </si>
  <si>
    <t>FINANC</t>
  </si>
  <si>
    <t>Total do Passivo Operacional</t>
  </si>
  <si>
    <t xml:space="preserve">   Total dos Passivos não Operacionais </t>
  </si>
  <si>
    <t xml:space="preserve">   Total do Patrimônio Líquido </t>
  </si>
  <si>
    <t xml:space="preserve">Total Geral </t>
  </si>
  <si>
    <t>ENTRADA</t>
  </si>
  <si>
    <t xml:space="preserve"> Atividades operacionais </t>
  </si>
  <si>
    <t xml:space="preserve"> Atividades de Investimentos </t>
  </si>
  <si>
    <t xml:space="preserve">       Investimentos</t>
  </si>
  <si>
    <t xml:space="preserve"> Atividades de Financiamento</t>
  </si>
  <si>
    <t xml:space="preserve">       Lucros </t>
  </si>
  <si>
    <t xml:space="preserve">       Redução do lucro para distribuição dividendos</t>
  </si>
  <si>
    <t xml:space="preserve">       Valorização Ações</t>
  </si>
  <si>
    <t xml:space="preserve">TOTAL GERAL </t>
  </si>
  <si>
    <t>(Perda econômica)</t>
  </si>
  <si>
    <t>(Ganho econômica)</t>
  </si>
  <si>
    <t>ENT/SAIDA</t>
  </si>
  <si>
    <t>Investimentos (Ações de curto prazo)</t>
  </si>
  <si>
    <t>(ajuste na imparidade)</t>
  </si>
  <si>
    <t>(+) Apropriação de juros (Duplicatas descontadas)</t>
  </si>
  <si>
    <t>Investimentos em ações LP</t>
  </si>
  <si>
    <t>Dividendos pagos</t>
  </si>
  <si>
    <t>Ajuste de avaliação Patrimonial (Valorização de ações)</t>
  </si>
  <si>
    <t>1. Questão - Compra de Mercadoria (Fev)</t>
  </si>
  <si>
    <t>Apropriação dos juros: Mar - Ago (visão resumida)</t>
  </si>
  <si>
    <t>Pagamento do Fornecedor - Ago</t>
  </si>
  <si>
    <t>2. Questão - Venda de Mercadoria - Mar</t>
  </si>
  <si>
    <t>Valor futuro</t>
  </si>
  <si>
    <t>Valor presente</t>
  </si>
  <si>
    <t>Pela Venda - Mar</t>
  </si>
  <si>
    <t>D - Clientes(VF)</t>
  </si>
  <si>
    <t>C - Receita de Vendas (VP)</t>
  </si>
  <si>
    <t>D - ICMS sobre vendas</t>
  </si>
  <si>
    <t>Pelo recebimento - Set</t>
  </si>
  <si>
    <t>Apropriação dos juros: Mar a Set (visão resumida)</t>
  </si>
  <si>
    <t>Aquisição dos suprimentos - Mar</t>
  </si>
  <si>
    <t>Pelo Consumo: Abr a Dez (visão resumida)</t>
  </si>
  <si>
    <t>D - Estoques (Valor Presente Mercadoria + Imp Importação)</t>
  </si>
  <si>
    <t>Valor (R$)</t>
  </si>
  <si>
    <t>4. Questão - Compra de Mercadoria - Jul</t>
  </si>
  <si>
    <t>Apropriação dos juros - Jul a Dez</t>
  </si>
  <si>
    <t>5. Questão - Venda de Mercadoria - Ago</t>
  </si>
  <si>
    <t>Pela Venda - Ago</t>
  </si>
  <si>
    <t>Apropriação dos juros: Jul a Dez</t>
  </si>
  <si>
    <t>6. Questão - Apropriação dos seguros (Jan a Dez)</t>
  </si>
  <si>
    <t>Receita</t>
  </si>
  <si>
    <t>Contabilização</t>
  </si>
  <si>
    <t>Despesa</t>
  </si>
  <si>
    <t>7. Questão - Compra de ações -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</si>
</sst>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&quot;R$&quot;\ * #,##0_-;\-&quot;R$&quot;\ * #,##0_-;_-&quot;R$&quot;\ * &quot;-&quot;??_-;_-@_-"/>
    <numFmt numFmtId="166" formatCode="_(* #,##0_);_(* \(#,##0\);_(* &quot;-&quot;??_);_(@_)"/>
    <numFmt numFmtId="167" formatCode="\(0\)"/>
    <numFmt numFmtId="168" formatCode="&quot;R$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double">
        <color theme="9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9" tint="-0.249977111117893"/>
      </top>
      <bottom style="double">
        <color theme="9" tint="-0.249977111117893"/>
      </bottom>
      <diagonal/>
    </border>
    <border>
      <left/>
      <right style="medium">
        <color indexed="64"/>
      </right>
      <top style="thin">
        <color theme="9" tint="-0.249977111117893"/>
      </top>
      <bottom style="double">
        <color theme="9" tint="-0.249977111117893"/>
      </bottom>
      <diagonal/>
    </border>
    <border>
      <left style="medium">
        <color indexed="64"/>
      </left>
      <right/>
      <top style="double">
        <color theme="9" tint="-0.249977111117893"/>
      </top>
      <bottom style="medium">
        <color indexed="64"/>
      </bottom>
      <diagonal/>
    </border>
    <border>
      <left/>
      <right/>
      <top style="double">
        <color theme="9" tint="-0.24997711111789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0" fillId="0" borderId="0"/>
  </cellStyleXfs>
  <cellXfs count="484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3" fontId="3" fillId="0" borderId="1" xfId="1" applyFont="1" applyBorder="1" applyAlignment="1">
      <alignment horizontal="center" vertical="center" wrapText="1"/>
    </xf>
    <xf numFmtId="0" fontId="3" fillId="0" borderId="0" xfId="0" applyFont="1"/>
    <xf numFmtId="43" fontId="3" fillId="0" borderId="1" xfId="1" applyFont="1" applyBorder="1"/>
    <xf numFmtId="0" fontId="3" fillId="0" borderId="1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0" xfId="1" applyNumberFormat="1" applyFont="1"/>
    <xf numFmtId="0" fontId="6" fillId="0" borderId="0" xfId="0" applyFont="1"/>
    <xf numFmtId="43" fontId="0" fillId="0" borderId="0" xfId="1" applyFont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0" fontId="0" fillId="0" borderId="3" xfId="0" applyBorder="1"/>
    <xf numFmtId="43" fontId="0" fillId="0" borderId="4" xfId="1" applyFont="1" applyBorder="1"/>
    <xf numFmtId="44" fontId="0" fillId="0" borderId="0" xfId="0" applyNumberFormat="1"/>
    <xf numFmtId="43" fontId="0" fillId="0" borderId="5" xfId="1" applyFont="1" applyBorder="1"/>
    <xf numFmtId="43" fontId="0" fillId="0" borderId="0" xfId="1" applyFont="1" applyBorder="1"/>
    <xf numFmtId="0" fontId="0" fillId="0" borderId="0" xfId="0" applyBorder="1"/>
    <xf numFmtId="43" fontId="0" fillId="0" borderId="6" xfId="1" applyFont="1" applyBorder="1"/>
    <xf numFmtId="44" fontId="0" fillId="0" borderId="2" xfId="0" applyNumberFormat="1" applyBorder="1"/>
    <xf numFmtId="0" fontId="0" fillId="0" borderId="4" xfId="0" applyBorder="1"/>
    <xf numFmtId="0" fontId="0" fillId="0" borderId="0" xfId="0" applyBorder="1" applyAlignment="1">
      <alignment horizontal="left"/>
    </xf>
    <xf numFmtId="0" fontId="0" fillId="0" borderId="6" xfId="0" applyBorder="1"/>
    <xf numFmtId="0" fontId="0" fillId="0" borderId="5" xfId="0" applyBorder="1"/>
    <xf numFmtId="43" fontId="0" fillId="0" borderId="7" xfId="1" applyFont="1" applyBorder="1"/>
    <xf numFmtId="43" fontId="0" fillId="0" borderId="8" xfId="1" applyFont="1" applyBorder="1"/>
    <xf numFmtId="0" fontId="0" fillId="0" borderId="8" xfId="0" applyBorder="1"/>
    <xf numFmtId="43" fontId="4" fillId="0" borderId="9" xfId="1" applyFont="1" applyBorder="1"/>
    <xf numFmtId="0" fontId="0" fillId="0" borderId="7" xfId="0" applyBorder="1"/>
    <xf numFmtId="0" fontId="9" fillId="0" borderId="9" xfId="0" applyFont="1" applyBorder="1"/>
    <xf numFmtId="43" fontId="0" fillId="3" borderId="1" xfId="1" applyFont="1" applyFill="1" applyBorder="1"/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4" fillId="0" borderId="0" xfId="0" applyFont="1" applyAlignment="1"/>
    <xf numFmtId="165" fontId="0" fillId="0" borderId="0" xfId="2" applyNumberFormat="1" applyFont="1"/>
    <xf numFmtId="0" fontId="5" fillId="0" borderId="0" xfId="0" applyFont="1" applyAlignment="1">
      <alignment horizontal="left" indent="2"/>
    </xf>
    <xf numFmtId="0" fontId="0" fillId="0" borderId="3" xfId="0" applyBorder="1" applyAlignment="1">
      <alignment horizontal="right"/>
    </xf>
    <xf numFmtId="165" fontId="0" fillId="0" borderId="3" xfId="2" applyNumberFormat="1" applyFont="1" applyBorder="1" applyAlignment="1">
      <alignment horizontal="center"/>
    </xf>
    <xf numFmtId="165" fontId="0" fillId="0" borderId="0" xfId="0" applyNumberFormat="1"/>
    <xf numFmtId="0" fontId="4" fillId="4" borderId="0" xfId="0" applyFont="1" applyFill="1"/>
    <xf numFmtId="165" fontId="4" fillId="4" borderId="0" xfId="2" applyNumberFormat="1" applyFont="1" applyFill="1"/>
    <xf numFmtId="0" fontId="0" fillId="4" borderId="0" xfId="0" applyFill="1"/>
    <xf numFmtId="0" fontId="0" fillId="0" borderId="0" xfId="0" applyBorder="1" applyAlignment="1">
      <alignment horizontal="right"/>
    </xf>
    <xf numFmtId="165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2" applyNumberFormat="1" applyFont="1" applyAlignment="1">
      <alignment horizontal="center"/>
    </xf>
    <xf numFmtId="0" fontId="4" fillId="4" borderId="8" xfId="0" applyFont="1" applyFill="1" applyBorder="1"/>
    <xf numFmtId="165" fontId="4" fillId="4" borderId="8" xfId="2" applyNumberFormat="1" applyFont="1" applyFill="1" applyBorder="1"/>
    <xf numFmtId="0" fontId="4" fillId="0" borderId="0" xfId="0" applyFont="1" applyFill="1"/>
    <xf numFmtId="0" fontId="4" fillId="0" borderId="0" xfId="0" applyFont="1" applyFill="1" applyBorder="1"/>
    <xf numFmtId="165" fontId="4" fillId="0" borderId="0" xfId="2" applyNumberFormat="1" applyFont="1" applyFill="1" applyBorder="1"/>
    <xf numFmtId="0" fontId="0" fillId="0" borderId="0" xfId="0" applyFont="1"/>
    <xf numFmtId="0" fontId="4" fillId="0" borderId="0" xfId="0" applyFont="1" applyBorder="1"/>
    <xf numFmtId="165" fontId="4" fillId="0" borderId="0" xfId="2" applyNumberFormat="1" applyFont="1" applyBorder="1"/>
    <xf numFmtId="0" fontId="0" fillId="0" borderId="3" xfId="0" applyFont="1" applyFill="1" applyBorder="1" applyAlignment="1">
      <alignment horizontal="right"/>
    </xf>
    <xf numFmtId="165" fontId="1" fillId="0" borderId="3" xfId="2" applyNumberFormat="1" applyFont="1" applyBorder="1" applyAlignment="1">
      <alignment horizontal="center"/>
    </xf>
    <xf numFmtId="0" fontId="0" fillId="0" borderId="3" xfId="0" applyFont="1" applyBorder="1"/>
    <xf numFmtId="0" fontId="4" fillId="0" borderId="0" xfId="0" applyFont="1" applyFill="1" applyBorder="1" applyAlignment="1">
      <alignment horizontal="right"/>
    </xf>
    <xf numFmtId="165" fontId="4" fillId="0" borderId="0" xfId="2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0" fillId="0" borderId="3" xfId="2" applyNumberFormat="1" applyFont="1" applyBorder="1"/>
    <xf numFmtId="165" fontId="0" fillId="0" borderId="0" xfId="2" applyNumberFormat="1" applyFont="1" applyBorder="1"/>
    <xf numFmtId="4" fontId="0" fillId="0" borderId="0" xfId="0" applyNumberFormat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 applyFont="1" applyFill="1"/>
    <xf numFmtId="3" fontId="11" fillId="5" borderId="10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49" fontId="11" fillId="5" borderId="11" xfId="0" applyNumberFormat="1" applyFont="1" applyFill="1" applyBorder="1" applyAlignment="1">
      <alignment horizontal="center" vertical="top"/>
    </xf>
    <xf numFmtId="3" fontId="11" fillId="5" borderId="11" xfId="0" applyNumberFormat="1" applyFont="1" applyFill="1" applyBorder="1" applyAlignment="1">
      <alignment horizontal="center" vertical="top"/>
    </xf>
    <xf numFmtId="3" fontId="11" fillId="5" borderId="12" xfId="0" applyNumberFormat="1" applyFont="1" applyFill="1" applyBorder="1" applyAlignment="1">
      <alignment vertical="top"/>
    </xf>
    <xf numFmtId="3" fontId="11" fillId="5" borderId="13" xfId="0" applyNumberFormat="1" applyFont="1" applyFill="1" applyBorder="1" applyAlignment="1">
      <alignment vertical="top"/>
    </xf>
    <xf numFmtId="49" fontId="11" fillId="5" borderId="13" xfId="0" applyNumberFormat="1" applyFont="1" applyFill="1" applyBorder="1" applyAlignment="1">
      <alignment horizontal="center" vertical="top"/>
    </xf>
    <xf numFmtId="49" fontId="7" fillId="5" borderId="13" xfId="0" applyNumberFormat="1" applyFont="1" applyFill="1" applyBorder="1" applyAlignment="1">
      <alignment horizontal="center" vertical="top"/>
    </xf>
    <xf numFmtId="3" fontId="12" fillId="5" borderId="13" xfId="0" applyNumberFormat="1" applyFont="1" applyFill="1" applyBorder="1" applyAlignment="1">
      <alignment horizontal="center" vertical="top"/>
    </xf>
    <xf numFmtId="3" fontId="12" fillId="5" borderId="14" xfId="0" applyNumberFormat="1" applyFont="1" applyFill="1" applyBorder="1" applyAlignment="1">
      <alignment horizontal="center" vertical="top"/>
    </xf>
    <xf numFmtId="3" fontId="13" fillId="0" borderId="15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/>
    </xf>
    <xf numFmtId="3" fontId="13" fillId="0" borderId="0" xfId="0" applyNumberFormat="1" applyFont="1" applyFill="1" applyBorder="1" applyAlignment="1">
      <alignment horizontal="center" vertical="top"/>
    </xf>
    <xf numFmtId="3" fontId="13" fillId="0" borderId="0" xfId="0" applyNumberFormat="1" applyFont="1" applyFill="1" applyBorder="1" applyAlignment="1">
      <alignment horizontal="right" vertical="top"/>
    </xf>
    <xf numFmtId="3" fontId="13" fillId="0" borderId="12" xfId="0" applyNumberFormat="1" applyFont="1" applyFill="1" applyBorder="1" applyAlignment="1">
      <alignment vertical="top"/>
    </xf>
    <xf numFmtId="3" fontId="13" fillId="0" borderId="13" xfId="0" applyNumberFormat="1" applyFont="1" applyFill="1" applyBorder="1" applyAlignment="1">
      <alignment vertical="top"/>
    </xf>
    <xf numFmtId="3" fontId="13" fillId="0" borderId="13" xfId="0" applyNumberFormat="1" applyFont="1" applyFill="1" applyBorder="1"/>
    <xf numFmtId="3" fontId="13" fillId="0" borderId="14" xfId="0" applyNumberFormat="1" applyFont="1" applyFill="1" applyBorder="1"/>
    <xf numFmtId="3" fontId="12" fillId="0" borderId="15" xfId="0" applyNumberFormat="1" applyFont="1" applyFill="1" applyBorder="1" applyAlignment="1">
      <alignment horizontal="left" vertical="top" indent="1"/>
    </xf>
    <xf numFmtId="3" fontId="12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 applyBorder="1" applyAlignment="1">
      <alignment horizontal="center" vertical="top"/>
    </xf>
    <xf numFmtId="3" fontId="12" fillId="0" borderId="0" xfId="0" applyNumberFormat="1" applyFont="1" applyFill="1" applyBorder="1" applyAlignment="1">
      <alignment horizontal="right" vertical="top"/>
    </xf>
    <xf numFmtId="3" fontId="12" fillId="0" borderId="15" xfId="0" applyNumberFormat="1" applyFont="1" applyFill="1" applyBorder="1" applyAlignment="1">
      <alignment vertical="top"/>
    </xf>
    <xf numFmtId="3" fontId="12" fillId="0" borderId="0" xfId="0" applyNumberFormat="1" applyFont="1" applyFill="1" applyBorder="1"/>
    <xf numFmtId="3" fontId="12" fillId="0" borderId="16" xfId="0" applyNumberFormat="1" applyFont="1" applyFill="1" applyBorder="1"/>
    <xf numFmtId="3" fontId="12" fillId="0" borderId="15" xfId="0" applyNumberFormat="1" applyFont="1" applyFill="1" applyBorder="1" applyAlignment="1">
      <alignment horizontal="left" vertical="top" indent="2"/>
    </xf>
    <xf numFmtId="3" fontId="12" fillId="0" borderId="0" xfId="0" applyNumberFormat="1" applyFont="1" applyFill="1" applyBorder="1" applyAlignment="1">
      <alignment horizontal="left" vertical="top"/>
    </xf>
    <xf numFmtId="3" fontId="4" fillId="0" borderId="15" xfId="0" applyNumberFormat="1" applyFont="1" applyFill="1" applyBorder="1" applyAlignment="1">
      <alignment horizontal="left" vertical="top" indent="2"/>
    </xf>
    <xf numFmtId="3" fontId="13" fillId="0" borderId="0" xfId="0" applyNumberFormat="1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3" fontId="13" fillId="0" borderId="16" xfId="0" applyNumberFormat="1" applyFont="1" applyFill="1" applyBorder="1" applyAlignment="1">
      <alignment horizontal="center" vertical="top"/>
    </xf>
    <xf numFmtId="3" fontId="12" fillId="0" borderId="15" xfId="0" applyNumberFormat="1" applyFont="1" applyFill="1" applyBorder="1" applyAlignment="1">
      <alignment horizontal="left" vertical="top" indent="3"/>
    </xf>
    <xf numFmtId="3" fontId="4" fillId="0" borderId="15" xfId="0" applyNumberFormat="1" applyFont="1" applyFill="1" applyBorder="1" applyAlignment="1">
      <alignment horizontal="left" vertical="top" indent="3"/>
    </xf>
    <xf numFmtId="3" fontId="13" fillId="0" borderId="15" xfId="0" applyNumberFormat="1" applyFont="1" applyFill="1" applyBorder="1" applyAlignment="1">
      <alignment horizontal="left" vertical="top" indent="4"/>
    </xf>
    <xf numFmtId="3" fontId="0" fillId="0" borderId="15" xfId="0" applyNumberFormat="1" applyFill="1" applyBorder="1" applyAlignment="1">
      <alignment horizontal="left" indent="4"/>
    </xf>
    <xf numFmtId="3" fontId="14" fillId="0" borderId="0" xfId="0" applyNumberFormat="1" applyFont="1" applyFill="1" applyBorder="1" applyAlignment="1">
      <alignment horizontal="left" vertical="top"/>
    </xf>
    <xf numFmtId="3" fontId="14" fillId="0" borderId="16" xfId="0" applyNumberFormat="1" applyFont="1" applyFill="1" applyBorder="1" applyAlignment="1">
      <alignment horizontal="center" vertical="top"/>
    </xf>
    <xf numFmtId="3" fontId="4" fillId="0" borderId="15" xfId="0" applyNumberFormat="1" applyFont="1" applyFill="1" applyBorder="1" applyAlignment="1">
      <alignment horizontal="left" indent="2"/>
    </xf>
    <xf numFmtId="3" fontId="4" fillId="0" borderId="15" xfId="0" applyNumberFormat="1" applyFont="1" applyFill="1" applyBorder="1" applyAlignment="1">
      <alignment horizontal="left" indent="3"/>
    </xf>
    <xf numFmtId="3" fontId="0" fillId="0" borderId="15" xfId="0" applyNumberFormat="1" applyFill="1" applyBorder="1" applyAlignment="1">
      <alignment horizontal="left" indent="5"/>
    </xf>
    <xf numFmtId="3" fontId="12" fillId="0" borderId="15" xfId="0" applyNumberFormat="1" applyFont="1" applyFill="1" applyBorder="1" applyAlignment="1">
      <alignment horizontal="left" vertical="center" indent="3"/>
    </xf>
    <xf numFmtId="3" fontId="0" fillId="0" borderId="15" xfId="0" applyNumberFormat="1" applyFill="1" applyBorder="1"/>
    <xf numFmtId="3" fontId="12" fillId="0" borderId="17" xfId="0" applyNumberFormat="1" applyFont="1" applyFill="1" applyBorder="1" applyAlignment="1">
      <alignment horizontal="left" vertical="top" indent="2"/>
    </xf>
    <xf numFmtId="3" fontId="13" fillId="0" borderId="18" xfId="0" applyNumberFormat="1" applyFont="1" applyFill="1" applyBorder="1" applyAlignment="1">
      <alignment horizontal="left" vertical="top"/>
    </xf>
    <xf numFmtId="3" fontId="12" fillId="0" borderId="18" xfId="0" applyNumberFormat="1" applyFont="1" applyFill="1" applyBorder="1" applyAlignment="1">
      <alignment horizontal="center" vertical="top"/>
    </xf>
    <xf numFmtId="3" fontId="13" fillId="0" borderId="18" xfId="0" applyNumberFormat="1" applyFont="1" applyFill="1" applyBorder="1" applyAlignment="1">
      <alignment horizontal="center" vertical="top"/>
    </xf>
    <xf numFmtId="3" fontId="13" fillId="0" borderId="18" xfId="1" applyNumberFormat="1" applyFont="1" applyFill="1" applyBorder="1" applyAlignment="1">
      <alignment horizontal="left" vertical="top"/>
    </xf>
    <xf numFmtId="3" fontId="13" fillId="0" borderId="18" xfId="1" applyNumberFormat="1" applyFont="1" applyFill="1" applyBorder="1" applyAlignment="1">
      <alignment horizontal="center" vertical="top"/>
    </xf>
    <xf numFmtId="3" fontId="13" fillId="0" borderId="19" xfId="1" applyNumberFormat="1" applyFont="1" applyFill="1" applyBorder="1" applyAlignment="1">
      <alignment horizontal="center" vertical="top"/>
    </xf>
    <xf numFmtId="3" fontId="13" fillId="0" borderId="15" xfId="0" applyNumberFormat="1" applyFont="1" applyFill="1" applyBorder="1" applyAlignment="1">
      <alignment horizontal="left" vertical="top" indent="2"/>
    </xf>
    <xf numFmtId="3" fontId="13" fillId="0" borderId="0" xfId="1" applyNumberFormat="1" applyFont="1" applyFill="1" applyBorder="1" applyAlignment="1">
      <alignment horizontal="left" vertical="top"/>
    </xf>
    <xf numFmtId="3" fontId="13" fillId="0" borderId="0" xfId="1" applyNumberFormat="1" applyFont="1" applyFill="1" applyBorder="1" applyAlignment="1">
      <alignment horizontal="center" vertical="top"/>
    </xf>
    <xf numFmtId="3" fontId="12" fillId="0" borderId="20" xfId="0" applyNumberFormat="1" applyFont="1" applyFill="1" applyBorder="1" applyAlignment="1">
      <alignment horizontal="left" vertical="top" indent="2"/>
    </xf>
    <xf numFmtId="3" fontId="13" fillId="0" borderId="21" xfId="0" applyNumberFormat="1" applyFont="1" applyFill="1" applyBorder="1" applyAlignment="1">
      <alignment horizontal="left" vertical="top"/>
    </xf>
    <xf numFmtId="3" fontId="12" fillId="0" borderId="21" xfId="0" applyNumberFormat="1" applyFont="1" applyFill="1" applyBorder="1" applyAlignment="1">
      <alignment horizontal="center" vertical="top"/>
    </xf>
    <xf numFmtId="3" fontId="13" fillId="0" borderId="21" xfId="0" applyNumberFormat="1" applyFont="1" applyFill="1" applyBorder="1" applyAlignment="1">
      <alignment horizontal="center" vertical="top"/>
    </xf>
    <xf numFmtId="3" fontId="13" fillId="0" borderId="22" xfId="0" applyNumberFormat="1" applyFont="1" applyFill="1" applyBorder="1" applyAlignment="1">
      <alignment horizontal="center" vertical="top"/>
    </xf>
    <xf numFmtId="3" fontId="12" fillId="0" borderId="15" xfId="0" applyNumberFormat="1" applyFont="1" applyFill="1" applyBorder="1" applyAlignment="1">
      <alignment horizontal="left" vertical="top"/>
    </xf>
    <xf numFmtId="3" fontId="0" fillId="0" borderId="0" xfId="0" applyNumberFormat="1" applyFont="1" applyBorder="1"/>
    <xf numFmtId="3" fontId="12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left"/>
    </xf>
    <xf numFmtId="3" fontId="0" fillId="0" borderId="16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0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 vertical="top" indent="2"/>
    </xf>
    <xf numFmtId="3" fontId="0" fillId="0" borderId="16" xfId="0" applyNumberFormat="1" applyFont="1" applyFill="1" applyBorder="1"/>
    <xf numFmtId="3" fontId="0" fillId="0" borderId="0" xfId="0" applyNumberFormat="1" applyFill="1" applyBorder="1"/>
    <xf numFmtId="3" fontId="12" fillId="0" borderId="0" xfId="0" applyNumberFormat="1" applyFont="1" applyFill="1" applyBorder="1" applyAlignment="1">
      <alignment horizontal="center"/>
    </xf>
    <xf numFmtId="3" fontId="0" fillId="0" borderId="15" xfId="0" applyNumberFormat="1" applyFont="1" applyFill="1" applyBorder="1" applyAlignment="1">
      <alignment horizontal="left" indent="4"/>
    </xf>
    <xf numFmtId="3" fontId="13" fillId="0" borderId="0" xfId="0" applyNumberFormat="1" applyFont="1" applyFill="1" applyBorder="1" applyAlignment="1">
      <alignment horizontal="center"/>
    </xf>
    <xf numFmtId="3" fontId="13" fillId="0" borderId="16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/>
    </xf>
    <xf numFmtId="3" fontId="13" fillId="0" borderId="16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/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/>
    <xf numFmtId="3" fontId="0" fillId="0" borderId="21" xfId="0" applyNumberFormat="1" applyFont="1" applyFill="1" applyBorder="1"/>
    <xf numFmtId="3" fontId="0" fillId="0" borderId="23" xfId="0" applyNumberFormat="1" applyFont="1" applyFill="1" applyBorder="1"/>
    <xf numFmtId="3" fontId="0" fillId="0" borderId="15" xfId="0" applyNumberFormat="1" applyFont="1" applyFill="1" applyBorder="1"/>
    <xf numFmtId="3" fontId="0" fillId="0" borderId="20" xfId="0" applyNumberFormat="1" applyFont="1" applyFill="1" applyBorder="1"/>
    <xf numFmtId="3" fontId="0" fillId="0" borderId="21" xfId="0" applyNumberFormat="1" applyFont="1" applyFill="1" applyBorder="1" applyAlignment="1">
      <alignment horizontal="center"/>
    </xf>
    <xf numFmtId="3" fontId="15" fillId="0" borderId="24" xfId="0" applyNumberFormat="1" applyFont="1" applyFill="1" applyBorder="1" applyAlignment="1">
      <alignment horizontal="center"/>
    </xf>
    <xf numFmtId="3" fontId="0" fillId="0" borderId="20" xfId="0" applyNumberFormat="1" applyFill="1" applyBorder="1" applyAlignment="1">
      <alignment horizontal="left" vertical="top"/>
    </xf>
    <xf numFmtId="3" fontId="13" fillId="0" borderId="21" xfId="1" applyNumberFormat="1" applyFont="1" applyFill="1" applyBorder="1" applyAlignment="1">
      <alignment horizontal="left" vertical="top"/>
    </xf>
    <xf numFmtId="3" fontId="13" fillId="0" borderId="22" xfId="1" applyNumberFormat="1" applyFont="1" applyFill="1" applyBorder="1" applyAlignment="1">
      <alignment horizontal="left" vertical="top"/>
    </xf>
    <xf numFmtId="3" fontId="4" fillId="0" borderId="25" xfId="0" applyNumberFormat="1" applyFont="1" applyFill="1" applyBorder="1" applyAlignment="1">
      <alignment horizontal="left" indent="2"/>
    </xf>
    <xf numFmtId="3" fontId="4" fillId="0" borderId="23" xfId="0" applyNumberFormat="1" applyFont="1" applyFill="1" applyBorder="1"/>
    <xf numFmtId="3" fontId="4" fillId="0" borderId="23" xfId="0" applyNumberFormat="1" applyFont="1" applyFill="1" applyBorder="1" applyAlignment="1">
      <alignment horizontal="center"/>
    </xf>
    <xf numFmtId="3" fontId="12" fillId="0" borderId="25" xfId="0" applyNumberFormat="1" applyFont="1" applyFill="1" applyBorder="1" applyAlignment="1">
      <alignment horizontal="left" vertical="top" indent="2"/>
    </xf>
    <xf numFmtId="3" fontId="4" fillId="0" borderId="23" xfId="0" applyNumberFormat="1" applyFont="1" applyFill="1" applyBorder="1" applyAlignment="1"/>
    <xf numFmtId="3" fontId="0" fillId="0" borderId="23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/>
    </xf>
    <xf numFmtId="3" fontId="15" fillId="0" borderId="24" xfId="0" applyNumberFormat="1" applyFont="1" applyFill="1" applyBorder="1" applyAlignment="1">
      <alignment vertical="top"/>
    </xf>
    <xf numFmtId="3" fontId="14" fillId="0" borderId="24" xfId="0" applyNumberFormat="1" applyFont="1" applyFill="1" applyBorder="1" applyAlignment="1">
      <alignment horizontal="center"/>
    </xf>
    <xf numFmtId="3" fontId="14" fillId="0" borderId="29" xfId="0" applyNumberFormat="1" applyFont="1" applyFill="1" applyBorder="1" applyAlignment="1">
      <alignment horizontal="center"/>
    </xf>
    <xf numFmtId="3" fontId="0" fillId="0" borderId="0" xfId="0" applyNumberForma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43" fontId="0" fillId="2" borderId="1" xfId="1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164" fontId="1" fillId="0" borderId="1" xfId="1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1" fillId="0" borderId="1" xfId="1" applyNumberFormat="1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164" fontId="13" fillId="0" borderId="1" xfId="0" applyNumberFormat="1" applyFont="1" applyBorder="1" applyAlignment="1">
      <alignment horizontal="center" vertical="top"/>
    </xf>
    <xf numFmtId="164" fontId="13" fillId="0" borderId="1" xfId="1" applyNumberFormat="1" applyFont="1" applyBorder="1" applyAlignment="1">
      <alignment horizontal="center" vertical="top"/>
    </xf>
    <xf numFmtId="0" fontId="0" fillId="2" borderId="1" xfId="0" applyFont="1" applyFill="1" applyBorder="1" applyAlignment="1">
      <alignment horizontal="center"/>
    </xf>
    <xf numFmtId="43" fontId="3" fillId="0" borderId="0" xfId="0" applyNumberFormat="1" applyFont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6" borderId="0" xfId="0" applyFill="1" applyBorder="1" applyAlignment="1">
      <alignment horizontal="center"/>
    </xf>
    <xf numFmtId="43" fontId="0" fillId="6" borderId="0" xfId="1" applyFont="1" applyFill="1" applyBorder="1"/>
    <xf numFmtId="0" fontId="0" fillId="6" borderId="1" xfId="0" applyFill="1" applyBorder="1" applyAlignment="1">
      <alignment horizontal="center"/>
    </xf>
    <xf numFmtId="43" fontId="0" fillId="6" borderId="1" xfId="1" applyFont="1" applyFill="1" applyBorder="1"/>
    <xf numFmtId="43" fontId="0" fillId="0" borderId="0" xfId="0" applyNumberFormat="1"/>
    <xf numFmtId="43" fontId="0" fillId="0" borderId="1" xfId="0" applyNumberFormat="1" applyBorder="1"/>
    <xf numFmtId="0" fontId="18" fillId="0" borderId="0" xfId="0" applyFont="1"/>
    <xf numFmtId="0" fontId="17" fillId="0" borderId="0" xfId="0" applyFont="1"/>
    <xf numFmtId="0" fontId="0" fillId="0" borderId="0" xfId="0" applyAlignment="1">
      <alignment horizontal="left"/>
    </xf>
    <xf numFmtId="0" fontId="4" fillId="7" borderId="1" xfId="0" applyFont="1" applyFill="1" applyBorder="1" applyAlignment="1">
      <alignment horizontal="center"/>
    </xf>
    <xf numFmtId="43" fontId="4" fillId="7" borderId="1" xfId="1" applyFont="1" applyFill="1" applyBorder="1" applyAlignment="1">
      <alignment horizontal="center"/>
    </xf>
    <xf numFmtId="43" fontId="17" fillId="0" borderId="1" xfId="1" applyFont="1" applyBorder="1"/>
    <xf numFmtId="43" fontId="17" fillId="0" borderId="5" xfId="1" applyFont="1" applyBorder="1"/>
    <xf numFmtId="164" fontId="17" fillId="0" borderId="0" xfId="0" applyNumberFormat="1" applyFont="1"/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43" fontId="0" fillId="0" borderId="0" xfId="1" applyFont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quotePrefix="1"/>
    <xf numFmtId="164" fontId="0" fillId="0" borderId="1" xfId="1" applyNumberFormat="1" applyFont="1" applyBorder="1" applyAlignment="1">
      <alignment horizontal="justify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1" applyNumberFormat="1" applyFont="1" applyFill="1"/>
    <xf numFmtId="164" fontId="3" fillId="0" borderId="0" xfId="0" applyNumberFormat="1" applyFont="1"/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0" fillId="0" borderId="0" xfId="1" applyNumberFormat="1" applyFont="1" applyFill="1"/>
    <xf numFmtId="164" fontId="18" fillId="0" borderId="0" xfId="1" applyNumberFormat="1" applyFont="1" applyFill="1"/>
    <xf numFmtId="164" fontId="5" fillId="0" borderId="0" xfId="1" applyNumberFormat="1" applyFont="1" applyFill="1"/>
    <xf numFmtId="164" fontId="17" fillId="0" borderId="0" xfId="1" applyNumberFormat="1" applyFont="1" applyFill="1"/>
    <xf numFmtId="165" fontId="1" fillId="0" borderId="0" xfId="2" applyNumberFormat="1" applyFont="1" applyBorder="1"/>
    <xf numFmtId="165" fontId="4" fillId="0" borderId="0" xfId="0" applyNumberFormat="1" applyFont="1"/>
    <xf numFmtId="164" fontId="0" fillId="0" borderId="0" xfId="0" applyNumberFormat="1"/>
    <xf numFmtId="0" fontId="0" fillId="0" borderId="1" xfId="0" applyFont="1" applyBorder="1" applyAlignment="1">
      <alignment horizontal="left" indent="1"/>
    </xf>
    <xf numFmtId="164" fontId="1" fillId="0" borderId="1" xfId="1" applyNumberFormat="1" applyFont="1" applyBorder="1" applyAlignment="1">
      <alignment horizontal="left" indent="1"/>
    </xf>
    <xf numFmtId="0" fontId="0" fillId="0" borderId="0" xfId="0" applyAlignment="1">
      <alignment horizontal="left" indent="1"/>
    </xf>
    <xf numFmtId="166" fontId="0" fillId="0" borderId="0" xfId="0" applyNumberFormat="1" applyFont="1" applyFill="1"/>
    <xf numFmtId="166" fontId="0" fillId="0" borderId="0" xfId="0" applyNumberFormat="1" applyFont="1" applyFill="1" applyAlignment="1">
      <alignment horizontal="center"/>
    </xf>
    <xf numFmtId="3" fontId="11" fillId="5" borderId="11" xfId="0" applyNumberFormat="1" applyFont="1" applyFill="1" applyBorder="1" applyAlignment="1">
      <alignment horizontal="center" vertical="center"/>
    </xf>
    <xf numFmtId="166" fontId="11" fillId="5" borderId="11" xfId="0" applyNumberFormat="1" applyFont="1" applyFill="1" applyBorder="1" applyAlignment="1">
      <alignment horizontal="center" vertical="top"/>
    </xf>
    <xf numFmtId="0" fontId="11" fillId="5" borderId="11" xfId="0" applyNumberFormat="1" applyFont="1" applyFill="1" applyBorder="1" applyAlignment="1">
      <alignment horizontal="center" vertical="top"/>
    </xf>
    <xf numFmtId="166" fontId="11" fillId="5" borderId="13" xfId="0" applyNumberFormat="1" applyFont="1" applyFill="1" applyBorder="1" applyAlignment="1">
      <alignment horizontal="center" vertical="top"/>
    </xf>
    <xf numFmtId="0" fontId="11" fillId="5" borderId="13" xfId="0" applyNumberFormat="1" applyFont="1" applyFill="1" applyBorder="1" applyAlignment="1">
      <alignment horizontal="center" vertical="top"/>
    </xf>
    <xf numFmtId="166" fontId="13" fillId="0" borderId="0" xfId="0" applyNumberFormat="1" applyFont="1" applyFill="1" applyBorder="1" applyAlignment="1">
      <alignment vertical="top"/>
    </xf>
    <xf numFmtId="166" fontId="13" fillId="0" borderId="0" xfId="0" applyNumberFormat="1" applyFont="1" applyFill="1" applyBorder="1" applyAlignment="1">
      <alignment horizontal="center" vertical="top"/>
    </xf>
    <xf numFmtId="166" fontId="13" fillId="0" borderId="13" xfId="0" applyNumberFormat="1" applyFont="1" applyFill="1" applyBorder="1" applyAlignment="1">
      <alignment vertical="top"/>
    </xf>
    <xf numFmtId="166" fontId="13" fillId="0" borderId="13" xfId="0" applyNumberFormat="1" applyFont="1" applyFill="1" applyBorder="1"/>
    <xf numFmtId="166" fontId="12" fillId="0" borderId="0" xfId="0" applyNumberFormat="1" applyFont="1" applyFill="1" applyBorder="1" applyAlignment="1">
      <alignment vertical="top"/>
    </xf>
    <xf numFmtId="166" fontId="12" fillId="0" borderId="0" xfId="0" applyNumberFormat="1" applyFont="1" applyFill="1" applyBorder="1" applyAlignment="1">
      <alignment horizontal="center" vertical="top"/>
    </xf>
    <xf numFmtId="166" fontId="12" fillId="0" borderId="0" xfId="0" applyNumberFormat="1" applyFont="1" applyFill="1" applyBorder="1"/>
    <xf numFmtId="166" fontId="12" fillId="0" borderId="0" xfId="0" applyNumberFormat="1" applyFont="1" applyFill="1" applyBorder="1" applyAlignment="1">
      <alignment horizontal="left" vertical="top"/>
    </xf>
    <xf numFmtId="166" fontId="13" fillId="0" borderId="0" xfId="0" applyNumberFormat="1" applyFont="1" applyFill="1" applyBorder="1" applyAlignment="1">
      <alignment horizontal="left" vertical="top"/>
    </xf>
    <xf numFmtId="166" fontId="0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left" vertical="top"/>
    </xf>
    <xf numFmtId="166" fontId="12" fillId="0" borderId="18" xfId="0" applyNumberFormat="1" applyFont="1" applyFill="1" applyBorder="1" applyAlignment="1">
      <alignment horizontal="center" vertical="top"/>
    </xf>
    <xf numFmtId="166" fontId="12" fillId="0" borderId="18" xfId="0" applyNumberFormat="1" applyFont="1" applyFill="1" applyBorder="1" applyAlignment="1">
      <alignment horizontal="left" vertical="top"/>
    </xf>
    <xf numFmtId="166" fontId="13" fillId="0" borderId="0" xfId="0" applyNumberFormat="1" applyFont="1" applyFill="1" applyBorder="1" applyAlignment="1">
      <alignment horizontal="left"/>
    </xf>
    <xf numFmtId="166" fontId="0" fillId="0" borderId="0" xfId="0" applyNumberFormat="1" applyFont="1" applyFill="1" applyBorder="1"/>
    <xf numFmtId="166" fontId="12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 vertical="top"/>
    </xf>
    <xf numFmtId="166" fontId="2" fillId="0" borderId="0" xfId="0" applyNumberFormat="1" applyFont="1" applyFill="1" applyBorder="1" applyAlignment="1">
      <alignment horizontal="center" vertical="top"/>
    </xf>
    <xf numFmtId="166" fontId="2" fillId="0" borderId="0" xfId="0" applyNumberFormat="1" applyFont="1" applyFill="1" applyBorder="1"/>
    <xf numFmtId="166" fontId="19" fillId="6" borderId="0" xfId="0" applyNumberFormat="1" applyFont="1" applyFill="1" applyBorder="1" applyAlignment="1">
      <alignment horizontal="center" vertical="top"/>
    </xf>
    <xf numFmtId="166" fontId="0" fillId="0" borderId="21" xfId="0" applyNumberFormat="1" applyFont="1" applyFill="1" applyBorder="1" applyAlignment="1">
      <alignment horizontal="center" vertical="top"/>
    </xf>
    <xf numFmtId="166" fontId="0" fillId="0" borderId="21" xfId="0" applyNumberFormat="1" applyFont="1" applyFill="1" applyBorder="1" applyAlignment="1">
      <alignment horizontal="center"/>
    </xf>
    <xf numFmtId="166" fontId="13" fillId="0" borderId="21" xfId="0" applyNumberFormat="1" applyFont="1" applyFill="1" applyBorder="1" applyAlignment="1">
      <alignment horizontal="left" vertical="top"/>
    </xf>
    <xf numFmtId="166" fontId="13" fillId="0" borderId="21" xfId="1" applyNumberFormat="1" applyFont="1" applyFill="1" applyBorder="1" applyAlignment="1">
      <alignment horizontal="left" vertical="top"/>
    </xf>
    <xf numFmtId="166" fontId="4" fillId="0" borderId="23" xfId="0" applyNumberFormat="1" applyFont="1" applyFill="1" applyBorder="1" applyAlignment="1">
      <alignment horizontal="center"/>
    </xf>
    <xf numFmtId="166" fontId="15" fillId="0" borderId="24" xfId="0" applyNumberFormat="1" applyFont="1" applyFill="1" applyBorder="1" applyAlignment="1">
      <alignment horizontal="center"/>
    </xf>
    <xf numFmtId="44" fontId="1" fillId="0" borderId="0" xfId="2" applyFont="1" applyFill="1" applyAlignment="1">
      <alignment horizontal="center"/>
    </xf>
    <xf numFmtId="44" fontId="1" fillId="0" borderId="0" xfId="2" applyFont="1" applyAlignment="1">
      <alignment horizontal="center"/>
    </xf>
    <xf numFmtId="44" fontId="1" fillId="6" borderId="31" xfId="2" applyFont="1" applyFill="1" applyBorder="1" applyAlignment="1">
      <alignment horizontal="center"/>
    </xf>
    <xf numFmtId="167" fontId="0" fillId="0" borderId="0" xfId="2" applyNumberFormat="1" applyFont="1" applyAlignment="1">
      <alignment horizontal="right"/>
    </xf>
    <xf numFmtId="44" fontId="0" fillId="0" borderId="7" xfId="2" applyFont="1" applyBorder="1"/>
    <xf numFmtId="44" fontId="0" fillId="0" borderId="0" xfId="2" applyFont="1"/>
    <xf numFmtId="167" fontId="0" fillId="0" borderId="0" xfId="2" applyNumberFormat="1" applyFont="1" applyAlignment="1">
      <alignment horizontal="left"/>
    </xf>
    <xf numFmtId="44" fontId="0" fillId="0" borderId="0" xfId="2" applyFont="1" applyAlignment="1">
      <alignment horizontal="left"/>
    </xf>
    <xf numFmtId="44" fontId="0" fillId="0" borderId="7" xfId="2" applyFont="1" applyBorder="1" applyAlignment="1">
      <alignment horizontal="right"/>
    </xf>
    <xf numFmtId="167" fontId="0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center"/>
    </xf>
    <xf numFmtId="44" fontId="1" fillId="0" borderId="7" xfId="2" applyFont="1" applyBorder="1" applyAlignment="1">
      <alignment horizontal="center"/>
    </xf>
    <xf numFmtId="44" fontId="1" fillId="0" borderId="0" xfId="2" applyFont="1" applyAlignment="1">
      <alignment horizontal="left"/>
    </xf>
    <xf numFmtId="44" fontId="0" fillId="0" borderId="0" xfId="2" applyFont="1" applyAlignment="1">
      <alignment horizontal="center"/>
    </xf>
    <xf numFmtId="49" fontId="0" fillId="0" borderId="0" xfId="2" applyNumberFormat="1" applyFont="1" applyAlignment="1">
      <alignment horizontal="right"/>
    </xf>
    <xf numFmtId="49" fontId="0" fillId="0" borderId="0" xfId="2" applyNumberFormat="1" applyFont="1"/>
    <xf numFmtId="49" fontId="0" fillId="0" borderId="0" xfId="2" applyNumberFormat="1" applyFont="1" applyAlignment="1">
      <alignment horizontal="center"/>
    </xf>
    <xf numFmtId="49" fontId="0" fillId="0" borderId="0" xfId="0" applyNumberFormat="1" applyAlignment="1">
      <alignment horizontal="right"/>
    </xf>
    <xf numFmtId="44" fontId="0" fillId="0" borderId="8" xfId="2" applyFont="1" applyBorder="1"/>
    <xf numFmtId="44" fontId="0" fillId="0" borderId="9" xfId="2" applyFont="1" applyBorder="1"/>
    <xf numFmtId="44" fontId="0" fillId="0" borderId="5" xfId="2" applyFont="1" applyBorder="1"/>
    <xf numFmtId="44" fontId="1" fillId="0" borderId="5" xfId="2" applyFont="1" applyBorder="1" applyAlignment="1">
      <alignment horizontal="center"/>
    </xf>
    <xf numFmtId="44" fontId="1" fillId="0" borderId="6" xfId="2" applyFont="1" applyBorder="1" applyAlignment="1">
      <alignment horizontal="center"/>
    </xf>
    <xf numFmtId="49" fontId="1" fillId="0" borderId="0" xfId="2" applyNumberFormat="1" applyFont="1" applyAlignment="1">
      <alignment horizontal="center"/>
    </xf>
    <xf numFmtId="44" fontId="0" fillId="0" borderId="0" xfId="2" applyFont="1" applyBorder="1"/>
    <xf numFmtId="44" fontId="1" fillId="0" borderId="0" xfId="2" applyFont="1" applyBorder="1" applyAlignment="1">
      <alignment horizontal="center"/>
    </xf>
    <xf numFmtId="44" fontId="0" fillId="0" borderId="0" xfId="2" applyFont="1" applyAlignment="1">
      <alignment horizontal="right"/>
    </xf>
    <xf numFmtId="44" fontId="0" fillId="0" borderId="6" xfId="2" applyFont="1" applyBorder="1"/>
    <xf numFmtId="44" fontId="0" fillId="0" borderId="0" xfId="2" applyNumberFormat="1" applyFont="1"/>
    <xf numFmtId="167" fontId="0" fillId="0" borderId="0" xfId="2" applyNumberFormat="1" applyFont="1"/>
    <xf numFmtId="44" fontId="0" fillId="0" borderId="5" xfId="2" applyNumberFormat="1" applyFont="1" applyBorder="1"/>
    <xf numFmtId="49" fontId="0" fillId="0" borderId="0" xfId="2" applyNumberFormat="1" applyFont="1" applyAlignment="1">
      <alignment horizontal="left"/>
    </xf>
    <xf numFmtId="44" fontId="0" fillId="0" borderId="0" xfId="2" applyNumberFormat="1" applyFont="1" applyBorder="1"/>
    <xf numFmtId="44" fontId="0" fillId="0" borderId="6" xfId="2" applyNumberFormat="1" applyFont="1" applyBorder="1"/>
    <xf numFmtId="44" fontId="1" fillId="0" borderId="0" xfId="2" applyNumberFormat="1" applyFont="1" applyAlignment="1">
      <alignment horizontal="center"/>
    </xf>
    <xf numFmtId="49" fontId="1" fillId="0" borderId="0" xfId="2" applyNumberFormat="1" applyFont="1" applyAlignment="1">
      <alignment horizontal="left"/>
    </xf>
    <xf numFmtId="44" fontId="1" fillId="0" borderId="2" xfId="2" applyFont="1" applyBorder="1" applyAlignment="1">
      <alignment horizontal="center"/>
    </xf>
    <xf numFmtId="44" fontId="1" fillId="0" borderId="9" xfId="2" applyFont="1" applyBorder="1" applyAlignment="1">
      <alignment horizontal="center"/>
    </xf>
    <xf numFmtId="167" fontId="1" fillId="0" borderId="0" xfId="2" applyNumberFormat="1" applyFont="1" applyAlignment="1">
      <alignment horizontal="left"/>
    </xf>
    <xf numFmtId="44" fontId="1" fillId="0" borderId="8" xfId="2" applyFont="1" applyBorder="1" applyAlignment="1">
      <alignment horizontal="center"/>
    </xf>
    <xf numFmtId="168" fontId="1" fillId="0" borderId="7" xfId="2" applyNumberFormat="1" applyFont="1" applyBorder="1" applyAlignment="1">
      <alignment horizontal="center"/>
    </xf>
    <xf numFmtId="44" fontId="4" fillId="0" borderId="0" xfId="2" applyFont="1" applyAlignment="1">
      <alignment horizontal="center"/>
    </xf>
    <xf numFmtId="168" fontId="4" fillId="0" borderId="0" xfId="2" applyNumberFormat="1" applyFont="1" applyAlignment="1">
      <alignment horizontal="center"/>
    </xf>
    <xf numFmtId="44" fontId="17" fillId="0" borderId="0" xfId="2" applyFont="1"/>
    <xf numFmtId="44" fontId="19" fillId="0" borderId="0" xfId="2" applyFont="1" applyFill="1" applyAlignment="1">
      <alignment horizontal="center"/>
    </xf>
    <xf numFmtId="49" fontId="2" fillId="0" borderId="0" xfId="2" applyNumberFormat="1" applyFont="1"/>
    <xf numFmtId="44" fontId="4" fillId="0" borderId="0" xfId="2" applyFont="1" applyAlignment="1">
      <alignment horizontal="left"/>
    </xf>
    <xf numFmtId="44" fontId="4" fillId="0" borderId="0" xfId="2" applyFont="1" applyFill="1" applyAlignment="1">
      <alignment horizontal="center"/>
    </xf>
    <xf numFmtId="167" fontId="4" fillId="0" borderId="0" xfId="2" applyNumberFormat="1" applyFont="1" applyAlignment="1">
      <alignment horizontal="center"/>
    </xf>
    <xf numFmtId="44" fontId="4" fillId="0" borderId="6" xfId="2" applyFont="1" applyBorder="1" applyAlignment="1">
      <alignment horizontal="center"/>
    </xf>
    <xf numFmtId="44" fontId="1" fillId="0" borderId="5" xfId="2" applyNumberFormat="1" applyFont="1" applyBorder="1" applyAlignment="1">
      <alignment horizontal="center"/>
    </xf>
    <xf numFmtId="168" fontId="0" fillId="0" borderId="7" xfId="0" applyNumberFormat="1" applyBorder="1"/>
    <xf numFmtId="44" fontId="2" fillId="0" borderId="5" xfId="2" applyFont="1" applyBorder="1"/>
    <xf numFmtId="44" fontId="1" fillId="0" borderId="0" xfId="2" applyFont="1" applyBorder="1" applyAlignment="1">
      <alignment horizontal="left"/>
    </xf>
    <xf numFmtId="167" fontId="4" fillId="0" borderId="0" xfId="2" applyNumberFormat="1" applyFont="1" applyBorder="1" applyAlignment="1">
      <alignment horizontal="center"/>
    </xf>
    <xf numFmtId="44" fontId="4" fillId="0" borderId="0" xfId="2" applyFont="1" applyBorder="1" applyAlignment="1">
      <alignment horizontal="center"/>
    </xf>
    <xf numFmtId="44" fontId="4" fillId="0" borderId="8" xfId="2" applyFont="1" applyBorder="1" applyAlignment="1">
      <alignment horizontal="right"/>
    </xf>
    <xf numFmtId="44" fontId="4" fillId="0" borderId="5" xfId="2" applyFont="1" applyBorder="1" applyAlignment="1">
      <alignment horizontal="center"/>
    </xf>
    <xf numFmtId="167" fontId="4" fillId="0" borderId="0" xfId="2" applyNumberFormat="1" applyFont="1" applyAlignment="1">
      <alignment horizontal="left"/>
    </xf>
    <xf numFmtId="44" fontId="4" fillId="0" borderId="0" xfId="2" applyFont="1" applyAlignment="1">
      <alignment horizontal="right"/>
    </xf>
    <xf numFmtId="49" fontId="0" fillId="0" borderId="0" xfId="2" applyNumberFormat="1" applyFont="1" applyAlignment="1">
      <alignment horizontal="left" vertical="center"/>
    </xf>
    <xf numFmtId="49" fontId="0" fillId="0" borderId="0" xfId="2" applyNumberFormat="1" applyFont="1" applyAlignment="1">
      <alignment horizontal="left" vertical="top"/>
    </xf>
    <xf numFmtId="44" fontId="0" fillId="0" borderId="8" xfId="2" applyFont="1" applyFill="1" applyBorder="1"/>
    <xf numFmtId="44" fontId="0" fillId="0" borderId="0" xfId="2" applyFont="1" applyFill="1" applyBorder="1"/>
    <xf numFmtId="44" fontId="2" fillId="0" borderId="0" xfId="2" applyFont="1" applyFill="1" applyBorder="1"/>
    <xf numFmtId="44" fontId="4" fillId="0" borderId="8" xfId="2" applyFont="1" applyFill="1" applyBorder="1" applyAlignment="1">
      <alignment horizontal="center"/>
    </xf>
    <xf numFmtId="44" fontId="4" fillId="0" borderId="30" xfId="2" applyFont="1" applyBorder="1"/>
    <xf numFmtId="44" fontId="4" fillId="0" borderId="8" xfId="2" applyFont="1" applyBorder="1" applyAlignment="1">
      <alignment horizontal="center"/>
    </xf>
    <xf numFmtId="44" fontId="4" fillId="0" borderId="9" xfId="2" applyFont="1" applyBorder="1" applyAlignment="1">
      <alignment horizontal="center"/>
    </xf>
    <xf numFmtId="44" fontId="4" fillId="0" borderId="8" xfId="2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43" fontId="3" fillId="3" borderId="1" xfId="1" applyFont="1" applyFill="1" applyBorder="1"/>
    <xf numFmtId="43" fontId="0" fillId="12" borderId="5" xfId="1" applyFont="1" applyFill="1" applyBorder="1"/>
    <xf numFmtId="43" fontId="0" fillId="12" borderId="1" xfId="1" applyFont="1" applyFill="1" applyBorder="1"/>
    <xf numFmtId="164" fontId="0" fillId="12" borderId="0" xfId="1" applyNumberFormat="1" applyFont="1" applyFill="1"/>
    <xf numFmtId="43" fontId="0" fillId="13" borderId="2" xfId="1" applyFont="1" applyFill="1" applyBorder="1"/>
    <xf numFmtId="164" fontId="0" fillId="13" borderId="0" xfId="1" applyNumberFormat="1" applyFont="1" applyFill="1"/>
    <xf numFmtId="43" fontId="0" fillId="7" borderId="1" xfId="1" applyFont="1" applyFill="1" applyBorder="1"/>
    <xf numFmtId="164" fontId="0" fillId="7" borderId="0" xfId="1" applyNumberFormat="1" applyFont="1" applyFill="1"/>
    <xf numFmtId="43" fontId="0" fillId="14" borderId="5" xfId="1" applyFont="1" applyFill="1" applyBorder="1"/>
    <xf numFmtId="43" fontId="0" fillId="14" borderId="1" xfId="1" applyFont="1" applyFill="1" applyBorder="1"/>
    <xf numFmtId="164" fontId="0" fillId="14" borderId="0" xfId="1" applyNumberFormat="1" applyFont="1" applyFill="1"/>
    <xf numFmtId="43" fontId="0" fillId="0" borderId="0" xfId="0" applyNumberFormat="1" applyBorder="1"/>
    <xf numFmtId="43" fontId="0" fillId="0" borderId="0" xfId="1" applyFont="1" applyBorder="1" applyAlignment="1">
      <alignment horizontal="center"/>
    </xf>
    <xf numFmtId="43" fontId="0" fillId="3" borderId="1" xfId="0" applyNumberFormat="1" applyFill="1" applyBorder="1"/>
    <xf numFmtId="43" fontId="0" fillId="3" borderId="1" xfId="1" applyFont="1" applyFill="1" applyBorder="1" applyAlignment="1">
      <alignment horizontal="center" vertical="center" wrapText="1"/>
    </xf>
    <xf numFmtId="164" fontId="0" fillId="3" borderId="0" xfId="1" applyNumberFormat="1" applyFont="1" applyFill="1"/>
    <xf numFmtId="0" fontId="4" fillId="2" borderId="0" xfId="0" applyFont="1" applyFill="1"/>
    <xf numFmtId="43" fontId="4" fillId="2" borderId="0" xfId="1" applyFont="1" applyFill="1"/>
    <xf numFmtId="43" fontId="2" fillId="0" borderId="0" xfId="0" applyNumberFormat="1" applyFont="1" applyFill="1"/>
    <xf numFmtId="43" fontId="1" fillId="0" borderId="0" xfId="1" applyFont="1"/>
    <xf numFmtId="0" fontId="2" fillId="0" borderId="0" xfId="0" applyFont="1"/>
    <xf numFmtId="3" fontId="15" fillId="0" borderId="0" xfId="0" applyNumberFormat="1" applyFont="1" applyFill="1" applyBorder="1" applyAlignment="1">
      <alignment horizontal="center"/>
    </xf>
    <xf numFmtId="3" fontId="11" fillId="5" borderId="13" xfId="0" applyNumberFormat="1" applyFont="1" applyFill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22" fillId="15" borderId="1" xfId="0" applyFont="1" applyFill="1" applyBorder="1" applyAlignment="1">
      <alignment vertical="center"/>
    </xf>
    <xf numFmtId="3" fontId="22" fillId="15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indent="1"/>
    </xf>
    <xf numFmtId="0" fontId="22" fillId="0" borderId="1" xfId="0" applyFont="1" applyBorder="1" applyAlignment="1">
      <alignment vertical="center"/>
    </xf>
    <xf numFmtId="43" fontId="26" fillId="0" borderId="1" xfId="0" applyNumberFormat="1" applyFont="1" applyFill="1" applyBorder="1" applyAlignment="1">
      <alignment horizontal="center" vertical="center"/>
    </xf>
    <xf numFmtId="43" fontId="27" fillId="0" borderId="1" xfId="0" applyNumberFormat="1" applyFont="1" applyFill="1" applyBorder="1" applyAlignment="1">
      <alignment horizontal="center" vertical="center"/>
    </xf>
    <xf numFmtId="43" fontId="28" fillId="0" borderId="1" xfId="0" applyNumberFormat="1" applyFont="1" applyFill="1" applyBorder="1" applyAlignment="1">
      <alignment horizontal="center" vertical="center"/>
    </xf>
    <xf numFmtId="43" fontId="29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2"/>
    </xf>
    <xf numFmtId="0" fontId="24" fillId="0" borderId="1" xfId="0" applyFont="1" applyFill="1" applyBorder="1" applyAlignment="1">
      <alignment horizontal="left" vertical="center" indent="2"/>
    </xf>
    <xf numFmtId="0" fontId="23" fillId="15" borderId="1" xfId="0" applyFont="1" applyFill="1" applyBorder="1" applyAlignment="1">
      <alignment vertical="center"/>
    </xf>
    <xf numFmtId="0" fontId="23" fillId="16" borderId="1" xfId="0" applyFont="1" applyFill="1" applyBorder="1" applyAlignment="1">
      <alignment horizontal="left" vertical="center" indent="2"/>
    </xf>
    <xf numFmtId="0" fontId="23" fillId="16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left" vertical="center" indent="3"/>
    </xf>
    <xf numFmtId="0" fontId="22" fillId="16" borderId="1" xfId="0" applyFont="1" applyFill="1" applyBorder="1" applyAlignment="1">
      <alignment vertical="center"/>
    </xf>
    <xf numFmtId="166" fontId="13" fillId="3" borderId="0" xfId="0" applyNumberFormat="1" applyFont="1" applyFill="1" applyBorder="1" applyAlignment="1">
      <alignment horizontal="center" vertical="top"/>
    </xf>
    <xf numFmtId="3" fontId="13" fillId="3" borderId="0" xfId="0" applyNumberFormat="1" applyFont="1" applyFill="1" applyBorder="1" applyAlignment="1">
      <alignment horizontal="left" vertical="top"/>
    </xf>
    <xf numFmtId="3" fontId="13" fillId="3" borderId="0" xfId="0" applyNumberFormat="1" applyFont="1" applyFill="1" applyBorder="1" applyAlignment="1">
      <alignment horizontal="center" vertical="top"/>
    </xf>
    <xf numFmtId="0" fontId="26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17" borderId="1" xfId="0" applyFont="1" applyFill="1" applyBorder="1" applyAlignment="1">
      <alignment vertical="center"/>
    </xf>
    <xf numFmtId="0" fontId="26" fillId="16" borderId="1" xfId="0" applyFont="1" applyFill="1" applyBorder="1" applyAlignment="1">
      <alignment vertical="center"/>
    </xf>
    <xf numFmtId="44" fontId="0" fillId="3" borderId="0" xfId="2" applyFont="1" applyFill="1"/>
    <xf numFmtId="165" fontId="0" fillId="3" borderId="0" xfId="2" applyNumberFormat="1" applyFont="1" applyFill="1"/>
    <xf numFmtId="44" fontId="1" fillId="3" borderId="0" xfId="2" applyFont="1" applyFill="1" applyAlignment="1">
      <alignment horizontal="center"/>
    </xf>
    <xf numFmtId="44" fontId="0" fillId="3" borderId="5" xfId="2" applyFont="1" applyFill="1" applyBorder="1"/>
    <xf numFmtId="44" fontId="1" fillId="3" borderId="5" xfId="2" applyFont="1" applyFill="1" applyBorder="1" applyAlignment="1">
      <alignment horizontal="center"/>
    </xf>
    <xf numFmtId="3" fontId="0" fillId="0" borderId="0" xfId="0" applyNumberFormat="1"/>
    <xf numFmtId="164" fontId="5" fillId="3" borderId="0" xfId="1" applyNumberFormat="1" applyFont="1" applyFill="1"/>
    <xf numFmtId="164" fontId="28" fillId="0" borderId="1" xfId="0" applyNumberFormat="1" applyFont="1" applyFill="1" applyBorder="1" applyAlignment="1">
      <alignment horizontal="center" vertical="center"/>
    </xf>
    <xf numFmtId="164" fontId="29" fillId="19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/>
    <xf numFmtId="164" fontId="28" fillId="19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/>
    <xf numFmtId="164" fontId="2" fillId="0" borderId="0" xfId="0" applyNumberFormat="1" applyFont="1" applyFill="1"/>
    <xf numFmtId="164" fontId="28" fillId="0" borderId="1" xfId="1" applyNumberFormat="1" applyFont="1" applyFill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0" fillId="0" borderId="1" xfId="0" applyNumberFormat="1" applyBorder="1"/>
    <xf numFmtId="3" fontId="33" fillId="0" borderId="0" xfId="0" applyNumberFormat="1" applyFont="1"/>
    <xf numFmtId="3" fontId="23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 wrapText="1"/>
    </xf>
    <xf numFmtId="43" fontId="17" fillId="3" borderId="1" xfId="1" applyFont="1" applyFill="1" applyBorder="1" applyAlignment="1">
      <alignment horizontal="center" vertical="center" wrapText="1"/>
    </xf>
    <xf numFmtId="0" fontId="17" fillId="0" borderId="1" xfId="0" applyFont="1" applyBorder="1"/>
    <xf numFmtId="164" fontId="17" fillId="19" borderId="1" xfId="0" applyNumberFormat="1" applyFont="1" applyFill="1" applyBorder="1"/>
    <xf numFmtId="164" fontId="2" fillId="19" borderId="1" xfId="0" applyNumberFormat="1" applyFont="1" applyFill="1" applyBorder="1"/>
    <xf numFmtId="164" fontId="1" fillId="0" borderId="0" xfId="1" applyNumberFormat="1" applyFont="1"/>
    <xf numFmtId="164" fontId="23" fillId="0" borderId="1" xfId="0" applyNumberFormat="1" applyFont="1" applyFill="1" applyBorder="1" applyAlignment="1">
      <alignment horizontal="center" vertical="center"/>
    </xf>
    <xf numFmtId="164" fontId="1" fillId="19" borderId="1" xfId="1" applyNumberFormat="1" applyFont="1" applyFill="1" applyBorder="1"/>
    <xf numFmtId="164" fontId="29" fillId="19" borderId="1" xfId="1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164" fontId="23" fillId="19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/>
    </xf>
    <xf numFmtId="3" fontId="15" fillId="0" borderId="27" xfId="0" applyNumberFormat="1" applyFont="1" applyFill="1" applyBorder="1" applyAlignment="1">
      <alignment horizontal="center" vertical="top"/>
    </xf>
    <xf numFmtId="3" fontId="15" fillId="0" borderId="28" xfId="0" applyNumberFormat="1" applyFont="1" applyFill="1" applyBorder="1" applyAlignment="1">
      <alignment horizontal="center" vertical="top"/>
    </xf>
    <xf numFmtId="0" fontId="16" fillId="0" borderId="3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64" fontId="23" fillId="18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9" borderId="30" xfId="2" applyFont="1" applyFill="1" applyBorder="1" applyAlignment="1">
      <alignment horizontal="center"/>
    </xf>
    <xf numFmtId="44" fontId="1" fillId="9" borderId="31" xfId="2" applyFont="1" applyFill="1" applyBorder="1" applyAlignment="1">
      <alignment horizontal="center"/>
    </xf>
    <xf numFmtId="44" fontId="1" fillId="9" borderId="32" xfId="2" applyFont="1" applyFill="1" applyBorder="1" applyAlignment="1">
      <alignment horizontal="center"/>
    </xf>
    <xf numFmtId="44" fontId="1" fillId="9" borderId="30" xfId="2" applyFont="1" applyFill="1" applyBorder="1" applyAlignment="1">
      <alignment horizontal="center"/>
    </xf>
    <xf numFmtId="44" fontId="1" fillId="9" borderId="8" xfId="2" applyFont="1" applyFill="1" applyBorder="1" applyAlignment="1">
      <alignment horizontal="center"/>
    </xf>
    <xf numFmtId="44" fontId="7" fillId="10" borderId="30" xfId="2" applyFont="1" applyFill="1" applyBorder="1" applyAlignment="1">
      <alignment horizontal="center"/>
    </xf>
    <xf numFmtId="44" fontId="7" fillId="10" borderId="31" xfId="2" applyFont="1" applyFill="1" applyBorder="1" applyAlignment="1">
      <alignment horizontal="center"/>
    </xf>
    <xf numFmtId="44" fontId="7" fillId="10" borderId="32" xfId="2" applyFont="1" applyFill="1" applyBorder="1" applyAlignment="1">
      <alignment horizontal="center"/>
    </xf>
    <xf numFmtId="44" fontId="19" fillId="10" borderId="30" xfId="2" applyFont="1" applyFill="1" applyBorder="1" applyAlignment="1">
      <alignment horizontal="center"/>
    </xf>
    <xf numFmtId="44" fontId="19" fillId="10" borderId="31" xfId="2" applyFont="1" applyFill="1" applyBorder="1" applyAlignment="1">
      <alignment horizontal="center"/>
    </xf>
    <xf numFmtId="44" fontId="19" fillId="10" borderId="32" xfId="2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44" fontId="4" fillId="11" borderId="30" xfId="2" applyFont="1" applyFill="1" applyBorder="1" applyAlignment="1">
      <alignment horizontal="center"/>
    </xf>
    <xf numFmtId="44" fontId="4" fillId="11" borderId="31" xfId="2" applyFont="1" applyFill="1" applyBorder="1" applyAlignment="1">
      <alignment horizontal="center"/>
    </xf>
    <xf numFmtId="44" fontId="4" fillId="11" borderId="32" xfId="2" applyFont="1" applyFill="1" applyBorder="1" applyAlignment="1">
      <alignment horizontal="center"/>
    </xf>
    <xf numFmtId="44" fontId="4" fillId="12" borderId="30" xfId="2" applyFont="1" applyFill="1" applyBorder="1" applyAlignment="1">
      <alignment horizontal="center"/>
    </xf>
    <xf numFmtId="44" fontId="4" fillId="12" borderId="31" xfId="2" applyFont="1" applyFill="1" applyBorder="1" applyAlignment="1">
      <alignment horizontal="center"/>
    </xf>
    <xf numFmtId="44" fontId="4" fillId="12" borderId="32" xfId="2" applyFont="1" applyFill="1" applyBorder="1" applyAlignment="1">
      <alignment horizontal="center"/>
    </xf>
    <xf numFmtId="44" fontId="0" fillId="11" borderId="30" xfId="2" applyFont="1" applyFill="1" applyBorder="1" applyAlignment="1">
      <alignment horizontal="center"/>
    </xf>
    <xf numFmtId="44" fontId="1" fillId="11" borderId="31" xfId="2" applyFont="1" applyFill="1" applyBorder="1" applyAlignment="1">
      <alignment horizontal="center"/>
    </xf>
    <xf numFmtId="44" fontId="1" fillId="11" borderId="32" xfId="2" applyFont="1" applyFill="1" applyBorder="1" applyAlignment="1">
      <alignment horizontal="center"/>
    </xf>
    <xf numFmtId="44" fontId="4" fillId="7" borderId="30" xfId="2" applyFont="1" applyFill="1" applyBorder="1" applyAlignment="1">
      <alignment horizontal="center"/>
    </xf>
    <xf numFmtId="44" fontId="4" fillId="7" borderId="8" xfId="2" applyFont="1" applyFill="1" applyBorder="1" applyAlignment="1">
      <alignment horizontal="center"/>
    </xf>
    <xf numFmtId="44" fontId="4" fillId="7" borderId="31" xfId="2" applyFont="1" applyFill="1" applyBorder="1" applyAlignment="1">
      <alignment horizontal="center"/>
    </xf>
    <xf numFmtId="44" fontId="4" fillId="7" borderId="32" xfId="2" applyFont="1" applyFill="1" applyBorder="1" applyAlignment="1">
      <alignment horizontal="center"/>
    </xf>
    <xf numFmtId="44" fontId="4" fillId="8" borderId="30" xfId="2" applyFont="1" applyFill="1" applyBorder="1" applyAlignment="1">
      <alignment horizontal="center"/>
    </xf>
    <xf numFmtId="44" fontId="4" fillId="8" borderId="31" xfId="2" applyFont="1" applyFill="1" applyBorder="1" applyAlignment="1">
      <alignment horizontal="center"/>
    </xf>
    <xf numFmtId="44" fontId="4" fillId="8" borderId="32" xfId="2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0" fillId="0" borderId="1" xfId="0" applyFill="1" applyBorder="1"/>
  </cellXfs>
  <cellStyles count="7">
    <cellStyle name="Moeda" xfId="2" builtinId="4"/>
    <cellStyle name="Moeda 2" xfId="3"/>
    <cellStyle name="Normal" xfId="0" builtinId="0"/>
    <cellStyle name="Normal 2" xfId="6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mbelina/Dropbox/aulas%20gradua&#231;&#227;o%20ufpe%202013.2/Contabilidade%20Societ&#225;ria%201/Aula%202/Respostas%20dos%20exerc&#237;cios/Exerc&#237;cio%20II%20de%20Contabilidade%20Societ&#225;ria%20I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onaldo%20Soares/Downloads/Exercicio%20s&#227;o%20jo&#227;o%20(1)%20(1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%20vaio/Dropbox/Aulas%20Gradua&#231;&#227;o%20UFPE%202013.1/Contabilidade%20Societ&#225;ria%201/Aula%201/Resposta%20do%20Exerc&#237;cio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onaldo%20Soares/Downloads/Users/Gean/Downloads/Trabalhos/C&#243;pia%20de%20Trabalho%20-%20Societ&#225;ria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s%20HD/Ci&#234;ncias%20Cont&#225;beis/4&#186;%20Per&#237;odo/Contabilidade%20Societ&#225;ria%201/exerc&#237;cio+2+sala+de+aula+(resolvido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ropbox/Aulas%20Gradua&#231;&#227;o%20UFPE%202013.1/Contabilidade%20Societ&#225;ria%201/Aula%201/Resposta%20do%20Exerc&#237;cio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%20vaio/Downloads/Demonstra&#231;&#245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_"/>
      <sheetName val="Lanç x1 "/>
      <sheetName val="Raz x1 "/>
      <sheetName val="RESERVAS e DIVIDENDOS x1"/>
      <sheetName val="DRE x1"/>
      <sheetName val="DRA"/>
      <sheetName val="Controle do Imobilizado"/>
      <sheetName val="EST x1"/>
      <sheetName val="EST SUP.RESMA DE PAPEL"/>
      <sheetName val="EST SUP.TONNER"/>
      <sheetName val="Ações"/>
      <sheetName val="Adiantamentos Funcionários"/>
      <sheetName val="RAZONETES Cecilia"/>
      <sheetName val="BALANÇO x2"/>
      <sheetName val="DMPL x1 "/>
      <sheetName val="BP  "/>
      <sheetName val="BP (2)"/>
      <sheetName val="FC PT 1"/>
      <sheetName val="FC PT 2"/>
      <sheetName val="FC PT 3"/>
      <sheetName val="FC PT 4"/>
    </sheetNames>
    <sheetDataSet>
      <sheetData sheetId="0"/>
      <sheetData sheetId="1"/>
      <sheetData sheetId="2">
        <row r="22">
          <cell r="C22">
            <v>324293.48</v>
          </cell>
          <cell r="H22">
            <v>2629.75</v>
          </cell>
          <cell r="M22">
            <v>43750</v>
          </cell>
          <cell r="AL22">
            <v>30833</v>
          </cell>
          <cell r="AV22">
            <v>600</v>
          </cell>
          <cell r="BG22">
            <v>4115</v>
          </cell>
          <cell r="BK22">
            <v>120</v>
          </cell>
          <cell r="BP22">
            <v>1210</v>
          </cell>
          <cell r="BU22">
            <v>1200</v>
          </cell>
          <cell r="BZ22">
            <v>0</v>
          </cell>
          <cell r="CE22">
            <v>6000</v>
          </cell>
          <cell r="CJ22">
            <v>8500</v>
          </cell>
          <cell r="CO22">
            <v>8500</v>
          </cell>
        </row>
        <row r="33">
          <cell r="I33">
            <v>3900</v>
          </cell>
          <cell r="S33">
            <v>18029</v>
          </cell>
          <cell r="AC33">
            <v>0</v>
          </cell>
          <cell r="AH33">
            <v>9423.9950674570828</v>
          </cell>
          <cell r="AM33">
            <v>2254.5032697265751</v>
          </cell>
          <cell r="AR33">
            <v>6262.5035270182634</v>
          </cell>
        </row>
        <row r="43">
          <cell r="I43">
            <v>2365.6188655664109</v>
          </cell>
          <cell r="X43">
            <v>16405.503378304722</v>
          </cell>
          <cell r="AH43">
            <v>1571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 x1"/>
      <sheetName val="Raz x1 "/>
      <sheetName val="DRE x1"/>
      <sheetName val="RESERVAS e DIVIDENDOS x1"/>
      <sheetName val="DMPL x1"/>
      <sheetName val="Adiantamentos"/>
      <sheetName val="BP  "/>
      <sheetName val="Ações"/>
      <sheetName val="EST x1"/>
      <sheetName val="RAZONETES Cecilia"/>
      <sheetName val="EST SUP.RESERVAS"/>
      <sheetName val="EST SUP.TONNER"/>
      <sheetName val="BALANÇO x2"/>
      <sheetName val="Controle do Imobilizado"/>
      <sheetName val="AVP x2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/>
      <sheetData sheetId="1">
        <row r="22">
          <cell r="C22">
            <v>324293.48</v>
          </cell>
          <cell r="R22">
            <v>120000</v>
          </cell>
          <cell r="AB22">
            <v>80000</v>
          </cell>
          <cell r="AH22">
            <v>2000</v>
          </cell>
          <cell r="AQ22">
            <v>10000</v>
          </cell>
          <cell r="CV22">
            <v>3200</v>
          </cell>
          <cell r="DA22">
            <v>17334</v>
          </cell>
        </row>
        <row r="44">
          <cell r="D44">
            <v>500000</v>
          </cell>
          <cell r="AC44">
            <v>1000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 x1"/>
      <sheetName val="Raz x1 "/>
      <sheetName val="Controle do Imobilizado"/>
      <sheetName val="EST x1"/>
      <sheetName val="RAZONETES Cecilia"/>
      <sheetName val="DRE x1"/>
      <sheetName val="RESERVAS e DIVIDENDOS x1"/>
      <sheetName val="BALANÇO x2"/>
      <sheetName val="BP  "/>
      <sheetName val="DMPL x1"/>
      <sheetName val="AVP x2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>
        <row r="91">
          <cell r="E91">
            <v>1874.5241272210515</v>
          </cell>
        </row>
        <row r="106">
          <cell r="E106">
            <v>1237.2692252602719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Lanç x1"/>
      <sheetName val="PLAN DE CONTROLE DO IMOBILIZADO"/>
      <sheetName val="Raz x1"/>
      <sheetName val="RAZONETES Cecilia"/>
      <sheetName val="RESERVAS x1"/>
      <sheetName val="BALANÇO x2"/>
      <sheetName val="BP "/>
      <sheetName val="DMPL x1"/>
      <sheetName val="AVP x2"/>
      <sheetName val="EST x1"/>
      <sheetName val="DRE x1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 refreshError="1"/>
      <sheetData sheetId="1" refreshError="1">
        <row r="5">
          <cell r="D5">
            <v>550000</v>
          </cell>
        </row>
        <row r="6">
          <cell r="D6">
            <v>500000</v>
          </cell>
        </row>
        <row r="7">
          <cell r="D7">
            <v>50000</v>
          </cell>
        </row>
        <row r="147">
          <cell r="D147">
            <v>1538.6188655664109</v>
          </cell>
        </row>
        <row r="157">
          <cell r="D157">
            <v>11693.503378304722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M9">
            <v>17540.255067457081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F39">
            <v>11656.203527018264</v>
          </cell>
        </row>
        <row r="40">
          <cell r="F40">
            <v>4196.2332697265747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cálculo - Participações"/>
      <sheetName val="dados"/>
      <sheetName val="DRA"/>
      <sheetName val="BP"/>
      <sheetName val="Apuração das reservas"/>
      <sheetName val="Fluxo de Caixa Direto"/>
      <sheetName val="Fluxo de Caixa Indireto"/>
      <sheetName val="Razonetes"/>
      <sheetName val="DR"/>
      <sheetName val="lançamentos"/>
      <sheetName val="DMPL"/>
      <sheetName val="DVA"/>
    </sheetNames>
    <sheetDataSet>
      <sheetData sheetId="0" refreshError="1"/>
      <sheetData sheetId="1" refreshError="1"/>
      <sheetData sheetId="2" refreshError="1"/>
      <sheetData sheetId="3" refreshError="1">
        <row r="25">
          <cell r="E25" t="str">
            <v>Capital Social Integralizado</v>
          </cell>
        </row>
        <row r="28">
          <cell r="E28" t="str">
            <v>Reserva Legal</v>
          </cell>
        </row>
      </sheetData>
      <sheetData sheetId="4" refreshError="1"/>
      <sheetData sheetId="5" refreshError="1"/>
      <sheetData sheetId="6" refreshError="1"/>
      <sheetData sheetId="7" refreshError="1">
        <row r="74">
          <cell r="J74" t="str">
            <v>Reserva Ret. Lucros</v>
          </cell>
        </row>
        <row r="78">
          <cell r="B78" t="str">
            <v>Res. p/ Contingências</v>
          </cell>
        </row>
        <row r="83">
          <cell r="F83" t="str">
            <v>Luc.ou Prej. Acum.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 x1"/>
      <sheetName val="Raz x1 "/>
      <sheetName val="Controle do Imobilizado"/>
      <sheetName val="EST x1"/>
      <sheetName val="RAZONETES Cecilia"/>
      <sheetName val="DRE x1"/>
      <sheetName val="RESERVAS e DIVIDENDOS x1"/>
      <sheetName val="BALANÇO x2"/>
      <sheetName val="BP  "/>
      <sheetName val="DMPL x1"/>
      <sheetName val="AVP x2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>
        <row r="7">
          <cell r="E7">
            <v>500000</v>
          </cell>
        </row>
        <row r="8">
          <cell r="E8">
            <v>50000</v>
          </cell>
        </row>
      </sheetData>
      <sheetData sheetId="1"/>
      <sheetData sheetId="2"/>
      <sheetData sheetId="3"/>
      <sheetData sheetId="4"/>
      <sheetData sheetId="5">
        <row r="44">
          <cell r="E44">
            <v>30772.552799999998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 x1"/>
      <sheetName val="Plan1"/>
      <sheetName val="EST x1"/>
      <sheetName val="Raz x1"/>
      <sheetName val="RAZONETES Cecilia"/>
      <sheetName val="RESERVAS x1"/>
      <sheetName val="BALANÇO x2"/>
      <sheetName val="BP "/>
      <sheetName val="DMPL x1"/>
      <sheetName val="AVP x2"/>
      <sheetName val="DRE x1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/>
      <sheetData sheetId="1"/>
      <sheetData sheetId="2"/>
      <sheetData sheetId="3">
        <row r="57">
          <cell r="C57">
            <v>700</v>
          </cell>
          <cell r="H57">
            <v>9026.25</v>
          </cell>
          <cell r="M57">
            <v>18445</v>
          </cell>
          <cell r="AG57">
            <v>2000</v>
          </cell>
          <cell r="AL57">
            <v>450</v>
          </cell>
          <cell r="AQ57">
            <v>21266.67</v>
          </cell>
          <cell r="AV57">
            <v>600</v>
          </cell>
          <cell r="BA57">
            <v>1387</v>
          </cell>
        </row>
        <row r="70">
          <cell r="D70">
            <v>108500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4"/>
  <sheetViews>
    <sheetView showGridLines="0" topLeftCell="A34" zoomScale="70" zoomScaleNormal="70" workbookViewId="0">
      <selection activeCell="O72" sqref="O72"/>
    </sheetView>
  </sheetViews>
  <sheetFormatPr defaultColWidth="9.140625" defaultRowHeight="15" x14ac:dyDescent="0.25"/>
  <cols>
    <col min="1" max="1" width="1.140625" style="80" customWidth="1"/>
    <col min="2" max="2" width="45.7109375" style="82" customWidth="1"/>
    <col min="3" max="3" width="18.5703125" style="82" customWidth="1"/>
    <col min="4" max="4" width="9.42578125" style="82" customWidth="1"/>
    <col min="5" max="5" width="10.42578125" style="82" bestFit="1" customWidth="1"/>
    <col min="6" max="6" width="10.42578125" style="245" bestFit="1" customWidth="1"/>
    <col min="7" max="7" width="1.42578125" style="82" customWidth="1"/>
    <col min="8" max="8" width="10.42578125" style="246" bestFit="1" customWidth="1"/>
    <col min="9" max="9" width="11.5703125" style="82" hidden="1" customWidth="1"/>
    <col min="10" max="10" width="12.140625" style="82" hidden="1" customWidth="1"/>
    <col min="11" max="11" width="11.5703125" style="82" hidden="1" customWidth="1"/>
    <col min="12" max="13" width="11.5703125" style="82" customWidth="1"/>
    <col min="14" max="14" width="1.28515625" style="82" customWidth="1"/>
    <col min="15" max="15" width="45.7109375" style="82" customWidth="1"/>
    <col min="16" max="16" width="17.42578125" style="82" customWidth="1"/>
    <col min="17" max="18" width="9.7109375" style="82" customWidth="1"/>
    <col min="19" max="19" width="9.7109375" style="245" customWidth="1"/>
    <col min="20" max="20" width="1" style="82" customWidth="1"/>
    <col min="21" max="21" width="9.7109375" style="245" customWidth="1"/>
    <col min="22" max="23" width="11.5703125" style="82" hidden="1" customWidth="1"/>
    <col min="24" max="25" width="11.5703125" style="82" customWidth="1"/>
    <col min="26" max="26" width="2.28515625" style="82" customWidth="1"/>
    <col min="27" max="27" width="10.7109375" style="80" bestFit="1" customWidth="1"/>
    <col min="28" max="270" width="9.140625" style="80"/>
    <col min="271" max="271" width="43.42578125" style="80" customWidth="1"/>
    <col min="272" max="272" width="13.85546875" style="80" bestFit="1" customWidth="1"/>
    <col min="273" max="276" width="11.5703125" style="80" customWidth="1"/>
    <col min="277" max="277" width="31.42578125" style="80" bestFit="1" customWidth="1"/>
    <col min="278" max="278" width="14.7109375" style="80" customWidth="1"/>
    <col min="279" max="282" width="11.5703125" style="80" customWidth="1"/>
    <col min="283" max="283" width="10.7109375" style="80" bestFit="1" customWidth="1"/>
    <col min="284" max="526" width="9.140625" style="80"/>
    <col min="527" max="527" width="43.42578125" style="80" customWidth="1"/>
    <col min="528" max="528" width="13.85546875" style="80" bestFit="1" customWidth="1"/>
    <col min="529" max="532" width="11.5703125" style="80" customWidth="1"/>
    <col min="533" max="533" width="31.42578125" style="80" bestFit="1" customWidth="1"/>
    <col min="534" max="534" width="14.7109375" style="80" customWidth="1"/>
    <col min="535" max="538" width="11.5703125" style="80" customWidth="1"/>
    <col min="539" max="539" width="10.7109375" style="80" bestFit="1" customWidth="1"/>
    <col min="540" max="782" width="9.140625" style="80"/>
    <col min="783" max="783" width="43.42578125" style="80" customWidth="1"/>
    <col min="784" max="784" width="13.85546875" style="80" bestFit="1" customWidth="1"/>
    <col min="785" max="788" width="11.5703125" style="80" customWidth="1"/>
    <col min="789" max="789" width="31.42578125" style="80" bestFit="1" customWidth="1"/>
    <col min="790" max="790" width="14.7109375" style="80" customWidth="1"/>
    <col min="791" max="794" width="11.5703125" style="80" customWidth="1"/>
    <col min="795" max="795" width="10.7109375" style="80" bestFit="1" customWidth="1"/>
    <col min="796" max="1038" width="9.140625" style="80"/>
    <col min="1039" max="1039" width="43.42578125" style="80" customWidth="1"/>
    <col min="1040" max="1040" width="13.85546875" style="80" bestFit="1" customWidth="1"/>
    <col min="1041" max="1044" width="11.5703125" style="80" customWidth="1"/>
    <col min="1045" max="1045" width="31.42578125" style="80" bestFit="1" customWidth="1"/>
    <col min="1046" max="1046" width="14.7109375" style="80" customWidth="1"/>
    <col min="1047" max="1050" width="11.5703125" style="80" customWidth="1"/>
    <col min="1051" max="1051" width="10.7109375" style="80" bestFit="1" customWidth="1"/>
    <col min="1052" max="1294" width="9.140625" style="80"/>
    <col min="1295" max="1295" width="43.42578125" style="80" customWidth="1"/>
    <col min="1296" max="1296" width="13.85546875" style="80" bestFit="1" customWidth="1"/>
    <col min="1297" max="1300" width="11.5703125" style="80" customWidth="1"/>
    <col min="1301" max="1301" width="31.42578125" style="80" bestFit="1" customWidth="1"/>
    <col min="1302" max="1302" width="14.7109375" style="80" customWidth="1"/>
    <col min="1303" max="1306" width="11.5703125" style="80" customWidth="1"/>
    <col min="1307" max="1307" width="10.7109375" style="80" bestFit="1" customWidth="1"/>
    <col min="1308" max="1550" width="9.140625" style="80"/>
    <col min="1551" max="1551" width="43.42578125" style="80" customWidth="1"/>
    <col min="1552" max="1552" width="13.85546875" style="80" bestFit="1" customWidth="1"/>
    <col min="1553" max="1556" width="11.5703125" style="80" customWidth="1"/>
    <col min="1557" max="1557" width="31.42578125" style="80" bestFit="1" customWidth="1"/>
    <col min="1558" max="1558" width="14.7109375" style="80" customWidth="1"/>
    <col min="1559" max="1562" width="11.5703125" style="80" customWidth="1"/>
    <col min="1563" max="1563" width="10.7109375" style="80" bestFit="1" customWidth="1"/>
    <col min="1564" max="1806" width="9.140625" style="80"/>
    <col min="1807" max="1807" width="43.42578125" style="80" customWidth="1"/>
    <col min="1808" max="1808" width="13.85546875" style="80" bestFit="1" customWidth="1"/>
    <col min="1809" max="1812" width="11.5703125" style="80" customWidth="1"/>
    <col min="1813" max="1813" width="31.42578125" style="80" bestFit="1" customWidth="1"/>
    <col min="1814" max="1814" width="14.7109375" style="80" customWidth="1"/>
    <col min="1815" max="1818" width="11.5703125" style="80" customWidth="1"/>
    <col min="1819" max="1819" width="10.7109375" style="80" bestFit="1" customWidth="1"/>
    <col min="1820" max="2062" width="9.140625" style="80"/>
    <col min="2063" max="2063" width="43.42578125" style="80" customWidth="1"/>
    <col min="2064" max="2064" width="13.85546875" style="80" bestFit="1" customWidth="1"/>
    <col min="2065" max="2068" width="11.5703125" style="80" customWidth="1"/>
    <col min="2069" max="2069" width="31.42578125" style="80" bestFit="1" customWidth="1"/>
    <col min="2070" max="2070" width="14.7109375" style="80" customWidth="1"/>
    <col min="2071" max="2074" width="11.5703125" style="80" customWidth="1"/>
    <col min="2075" max="2075" width="10.7109375" style="80" bestFit="1" customWidth="1"/>
    <col min="2076" max="2318" width="9.140625" style="80"/>
    <col min="2319" max="2319" width="43.42578125" style="80" customWidth="1"/>
    <col min="2320" max="2320" width="13.85546875" style="80" bestFit="1" customWidth="1"/>
    <col min="2321" max="2324" width="11.5703125" style="80" customWidth="1"/>
    <col min="2325" max="2325" width="31.42578125" style="80" bestFit="1" customWidth="1"/>
    <col min="2326" max="2326" width="14.7109375" style="80" customWidth="1"/>
    <col min="2327" max="2330" width="11.5703125" style="80" customWidth="1"/>
    <col min="2331" max="2331" width="10.7109375" style="80" bestFit="1" customWidth="1"/>
    <col min="2332" max="2574" width="9.140625" style="80"/>
    <col min="2575" max="2575" width="43.42578125" style="80" customWidth="1"/>
    <col min="2576" max="2576" width="13.85546875" style="80" bestFit="1" customWidth="1"/>
    <col min="2577" max="2580" width="11.5703125" style="80" customWidth="1"/>
    <col min="2581" max="2581" width="31.42578125" style="80" bestFit="1" customWidth="1"/>
    <col min="2582" max="2582" width="14.7109375" style="80" customWidth="1"/>
    <col min="2583" max="2586" width="11.5703125" style="80" customWidth="1"/>
    <col min="2587" max="2587" width="10.7109375" style="80" bestFit="1" customWidth="1"/>
    <col min="2588" max="2830" width="9.140625" style="80"/>
    <col min="2831" max="2831" width="43.42578125" style="80" customWidth="1"/>
    <col min="2832" max="2832" width="13.85546875" style="80" bestFit="1" customWidth="1"/>
    <col min="2833" max="2836" width="11.5703125" style="80" customWidth="1"/>
    <col min="2837" max="2837" width="31.42578125" style="80" bestFit="1" customWidth="1"/>
    <col min="2838" max="2838" width="14.7109375" style="80" customWidth="1"/>
    <col min="2839" max="2842" width="11.5703125" style="80" customWidth="1"/>
    <col min="2843" max="2843" width="10.7109375" style="80" bestFit="1" customWidth="1"/>
    <col min="2844" max="3086" width="9.140625" style="80"/>
    <col min="3087" max="3087" width="43.42578125" style="80" customWidth="1"/>
    <col min="3088" max="3088" width="13.85546875" style="80" bestFit="1" customWidth="1"/>
    <col min="3089" max="3092" width="11.5703125" style="80" customWidth="1"/>
    <col min="3093" max="3093" width="31.42578125" style="80" bestFit="1" customWidth="1"/>
    <col min="3094" max="3094" width="14.7109375" style="80" customWidth="1"/>
    <col min="3095" max="3098" width="11.5703125" style="80" customWidth="1"/>
    <col min="3099" max="3099" width="10.7109375" style="80" bestFit="1" customWidth="1"/>
    <col min="3100" max="3342" width="9.140625" style="80"/>
    <col min="3343" max="3343" width="43.42578125" style="80" customWidth="1"/>
    <col min="3344" max="3344" width="13.85546875" style="80" bestFit="1" customWidth="1"/>
    <col min="3345" max="3348" width="11.5703125" style="80" customWidth="1"/>
    <col min="3349" max="3349" width="31.42578125" style="80" bestFit="1" customWidth="1"/>
    <col min="3350" max="3350" width="14.7109375" style="80" customWidth="1"/>
    <col min="3351" max="3354" width="11.5703125" style="80" customWidth="1"/>
    <col min="3355" max="3355" width="10.7109375" style="80" bestFit="1" customWidth="1"/>
    <col min="3356" max="3598" width="9.140625" style="80"/>
    <col min="3599" max="3599" width="43.42578125" style="80" customWidth="1"/>
    <col min="3600" max="3600" width="13.85546875" style="80" bestFit="1" customWidth="1"/>
    <col min="3601" max="3604" width="11.5703125" style="80" customWidth="1"/>
    <col min="3605" max="3605" width="31.42578125" style="80" bestFit="1" customWidth="1"/>
    <col min="3606" max="3606" width="14.7109375" style="80" customWidth="1"/>
    <col min="3607" max="3610" width="11.5703125" style="80" customWidth="1"/>
    <col min="3611" max="3611" width="10.7109375" style="80" bestFit="1" customWidth="1"/>
    <col min="3612" max="3854" width="9.140625" style="80"/>
    <col min="3855" max="3855" width="43.42578125" style="80" customWidth="1"/>
    <col min="3856" max="3856" width="13.85546875" style="80" bestFit="1" customWidth="1"/>
    <col min="3857" max="3860" width="11.5703125" style="80" customWidth="1"/>
    <col min="3861" max="3861" width="31.42578125" style="80" bestFit="1" customWidth="1"/>
    <col min="3862" max="3862" width="14.7109375" style="80" customWidth="1"/>
    <col min="3863" max="3866" width="11.5703125" style="80" customWidth="1"/>
    <col min="3867" max="3867" width="10.7109375" style="80" bestFit="1" customWidth="1"/>
    <col min="3868" max="4110" width="9.140625" style="80"/>
    <col min="4111" max="4111" width="43.42578125" style="80" customWidth="1"/>
    <col min="4112" max="4112" width="13.85546875" style="80" bestFit="1" customWidth="1"/>
    <col min="4113" max="4116" width="11.5703125" style="80" customWidth="1"/>
    <col min="4117" max="4117" width="31.42578125" style="80" bestFit="1" customWidth="1"/>
    <col min="4118" max="4118" width="14.7109375" style="80" customWidth="1"/>
    <col min="4119" max="4122" width="11.5703125" style="80" customWidth="1"/>
    <col min="4123" max="4123" width="10.7109375" style="80" bestFit="1" customWidth="1"/>
    <col min="4124" max="4366" width="9.140625" style="80"/>
    <col min="4367" max="4367" width="43.42578125" style="80" customWidth="1"/>
    <col min="4368" max="4368" width="13.85546875" style="80" bestFit="1" customWidth="1"/>
    <col min="4369" max="4372" width="11.5703125" style="80" customWidth="1"/>
    <col min="4373" max="4373" width="31.42578125" style="80" bestFit="1" customWidth="1"/>
    <col min="4374" max="4374" width="14.7109375" style="80" customWidth="1"/>
    <col min="4375" max="4378" width="11.5703125" style="80" customWidth="1"/>
    <col min="4379" max="4379" width="10.7109375" style="80" bestFit="1" customWidth="1"/>
    <col min="4380" max="4622" width="9.140625" style="80"/>
    <col min="4623" max="4623" width="43.42578125" style="80" customWidth="1"/>
    <col min="4624" max="4624" width="13.85546875" style="80" bestFit="1" customWidth="1"/>
    <col min="4625" max="4628" width="11.5703125" style="80" customWidth="1"/>
    <col min="4629" max="4629" width="31.42578125" style="80" bestFit="1" customWidth="1"/>
    <col min="4630" max="4630" width="14.7109375" style="80" customWidth="1"/>
    <col min="4631" max="4634" width="11.5703125" style="80" customWidth="1"/>
    <col min="4635" max="4635" width="10.7109375" style="80" bestFit="1" customWidth="1"/>
    <col min="4636" max="4878" width="9.140625" style="80"/>
    <col min="4879" max="4879" width="43.42578125" style="80" customWidth="1"/>
    <col min="4880" max="4880" width="13.85546875" style="80" bestFit="1" customWidth="1"/>
    <col min="4881" max="4884" width="11.5703125" style="80" customWidth="1"/>
    <col min="4885" max="4885" width="31.42578125" style="80" bestFit="1" customWidth="1"/>
    <col min="4886" max="4886" width="14.7109375" style="80" customWidth="1"/>
    <col min="4887" max="4890" width="11.5703125" style="80" customWidth="1"/>
    <col min="4891" max="4891" width="10.7109375" style="80" bestFit="1" customWidth="1"/>
    <col min="4892" max="5134" width="9.140625" style="80"/>
    <col min="5135" max="5135" width="43.42578125" style="80" customWidth="1"/>
    <col min="5136" max="5136" width="13.85546875" style="80" bestFit="1" customWidth="1"/>
    <col min="5137" max="5140" width="11.5703125" style="80" customWidth="1"/>
    <col min="5141" max="5141" width="31.42578125" style="80" bestFit="1" customWidth="1"/>
    <col min="5142" max="5142" width="14.7109375" style="80" customWidth="1"/>
    <col min="5143" max="5146" width="11.5703125" style="80" customWidth="1"/>
    <col min="5147" max="5147" width="10.7109375" style="80" bestFit="1" customWidth="1"/>
    <col min="5148" max="5390" width="9.140625" style="80"/>
    <col min="5391" max="5391" width="43.42578125" style="80" customWidth="1"/>
    <col min="5392" max="5392" width="13.85546875" style="80" bestFit="1" customWidth="1"/>
    <col min="5393" max="5396" width="11.5703125" style="80" customWidth="1"/>
    <col min="5397" max="5397" width="31.42578125" style="80" bestFit="1" customWidth="1"/>
    <col min="5398" max="5398" width="14.7109375" style="80" customWidth="1"/>
    <col min="5399" max="5402" width="11.5703125" style="80" customWidth="1"/>
    <col min="5403" max="5403" width="10.7109375" style="80" bestFit="1" customWidth="1"/>
    <col min="5404" max="5646" width="9.140625" style="80"/>
    <col min="5647" max="5647" width="43.42578125" style="80" customWidth="1"/>
    <col min="5648" max="5648" width="13.85546875" style="80" bestFit="1" customWidth="1"/>
    <col min="5649" max="5652" width="11.5703125" style="80" customWidth="1"/>
    <col min="5653" max="5653" width="31.42578125" style="80" bestFit="1" customWidth="1"/>
    <col min="5654" max="5654" width="14.7109375" style="80" customWidth="1"/>
    <col min="5655" max="5658" width="11.5703125" style="80" customWidth="1"/>
    <col min="5659" max="5659" width="10.7109375" style="80" bestFit="1" customWidth="1"/>
    <col min="5660" max="5902" width="9.140625" style="80"/>
    <col min="5903" max="5903" width="43.42578125" style="80" customWidth="1"/>
    <col min="5904" max="5904" width="13.85546875" style="80" bestFit="1" customWidth="1"/>
    <col min="5905" max="5908" width="11.5703125" style="80" customWidth="1"/>
    <col min="5909" max="5909" width="31.42578125" style="80" bestFit="1" customWidth="1"/>
    <col min="5910" max="5910" width="14.7109375" style="80" customWidth="1"/>
    <col min="5911" max="5914" width="11.5703125" style="80" customWidth="1"/>
    <col min="5915" max="5915" width="10.7109375" style="80" bestFit="1" customWidth="1"/>
    <col min="5916" max="6158" width="9.140625" style="80"/>
    <col min="6159" max="6159" width="43.42578125" style="80" customWidth="1"/>
    <col min="6160" max="6160" width="13.85546875" style="80" bestFit="1" customWidth="1"/>
    <col min="6161" max="6164" width="11.5703125" style="80" customWidth="1"/>
    <col min="6165" max="6165" width="31.42578125" style="80" bestFit="1" customWidth="1"/>
    <col min="6166" max="6166" width="14.7109375" style="80" customWidth="1"/>
    <col min="6167" max="6170" width="11.5703125" style="80" customWidth="1"/>
    <col min="6171" max="6171" width="10.7109375" style="80" bestFit="1" customWidth="1"/>
    <col min="6172" max="6414" width="9.140625" style="80"/>
    <col min="6415" max="6415" width="43.42578125" style="80" customWidth="1"/>
    <col min="6416" max="6416" width="13.85546875" style="80" bestFit="1" customWidth="1"/>
    <col min="6417" max="6420" width="11.5703125" style="80" customWidth="1"/>
    <col min="6421" max="6421" width="31.42578125" style="80" bestFit="1" customWidth="1"/>
    <col min="6422" max="6422" width="14.7109375" style="80" customWidth="1"/>
    <col min="6423" max="6426" width="11.5703125" style="80" customWidth="1"/>
    <col min="6427" max="6427" width="10.7109375" style="80" bestFit="1" customWidth="1"/>
    <col min="6428" max="6670" width="9.140625" style="80"/>
    <col min="6671" max="6671" width="43.42578125" style="80" customWidth="1"/>
    <col min="6672" max="6672" width="13.85546875" style="80" bestFit="1" customWidth="1"/>
    <col min="6673" max="6676" width="11.5703125" style="80" customWidth="1"/>
    <col min="6677" max="6677" width="31.42578125" style="80" bestFit="1" customWidth="1"/>
    <col min="6678" max="6678" width="14.7109375" style="80" customWidth="1"/>
    <col min="6679" max="6682" width="11.5703125" style="80" customWidth="1"/>
    <col min="6683" max="6683" width="10.7109375" style="80" bestFit="1" customWidth="1"/>
    <col min="6684" max="6926" width="9.140625" style="80"/>
    <col min="6927" max="6927" width="43.42578125" style="80" customWidth="1"/>
    <col min="6928" max="6928" width="13.85546875" style="80" bestFit="1" customWidth="1"/>
    <col min="6929" max="6932" width="11.5703125" style="80" customWidth="1"/>
    <col min="6933" max="6933" width="31.42578125" style="80" bestFit="1" customWidth="1"/>
    <col min="6934" max="6934" width="14.7109375" style="80" customWidth="1"/>
    <col min="6935" max="6938" width="11.5703125" style="80" customWidth="1"/>
    <col min="6939" max="6939" width="10.7109375" style="80" bestFit="1" customWidth="1"/>
    <col min="6940" max="7182" width="9.140625" style="80"/>
    <col min="7183" max="7183" width="43.42578125" style="80" customWidth="1"/>
    <col min="7184" max="7184" width="13.85546875" style="80" bestFit="1" customWidth="1"/>
    <col min="7185" max="7188" width="11.5703125" style="80" customWidth="1"/>
    <col min="7189" max="7189" width="31.42578125" style="80" bestFit="1" customWidth="1"/>
    <col min="7190" max="7190" width="14.7109375" style="80" customWidth="1"/>
    <col min="7191" max="7194" width="11.5703125" style="80" customWidth="1"/>
    <col min="7195" max="7195" width="10.7109375" style="80" bestFit="1" customWidth="1"/>
    <col min="7196" max="7438" width="9.140625" style="80"/>
    <col min="7439" max="7439" width="43.42578125" style="80" customWidth="1"/>
    <col min="7440" max="7440" width="13.85546875" style="80" bestFit="1" customWidth="1"/>
    <col min="7441" max="7444" width="11.5703125" style="80" customWidth="1"/>
    <col min="7445" max="7445" width="31.42578125" style="80" bestFit="1" customWidth="1"/>
    <col min="7446" max="7446" width="14.7109375" style="80" customWidth="1"/>
    <col min="7447" max="7450" width="11.5703125" style="80" customWidth="1"/>
    <col min="7451" max="7451" width="10.7109375" style="80" bestFit="1" customWidth="1"/>
    <col min="7452" max="7694" width="9.140625" style="80"/>
    <col min="7695" max="7695" width="43.42578125" style="80" customWidth="1"/>
    <col min="7696" max="7696" width="13.85546875" style="80" bestFit="1" customWidth="1"/>
    <col min="7697" max="7700" width="11.5703125" style="80" customWidth="1"/>
    <col min="7701" max="7701" width="31.42578125" style="80" bestFit="1" customWidth="1"/>
    <col min="7702" max="7702" width="14.7109375" style="80" customWidth="1"/>
    <col min="7703" max="7706" width="11.5703125" style="80" customWidth="1"/>
    <col min="7707" max="7707" width="10.7109375" style="80" bestFit="1" customWidth="1"/>
    <col min="7708" max="7950" width="9.140625" style="80"/>
    <col min="7951" max="7951" width="43.42578125" style="80" customWidth="1"/>
    <col min="7952" max="7952" width="13.85546875" style="80" bestFit="1" customWidth="1"/>
    <col min="7953" max="7956" width="11.5703125" style="80" customWidth="1"/>
    <col min="7957" max="7957" width="31.42578125" style="80" bestFit="1" customWidth="1"/>
    <col min="7958" max="7958" width="14.7109375" style="80" customWidth="1"/>
    <col min="7959" max="7962" width="11.5703125" style="80" customWidth="1"/>
    <col min="7963" max="7963" width="10.7109375" style="80" bestFit="1" customWidth="1"/>
    <col min="7964" max="8206" width="9.140625" style="80"/>
    <col min="8207" max="8207" width="43.42578125" style="80" customWidth="1"/>
    <col min="8208" max="8208" width="13.85546875" style="80" bestFit="1" customWidth="1"/>
    <col min="8209" max="8212" width="11.5703125" style="80" customWidth="1"/>
    <col min="8213" max="8213" width="31.42578125" style="80" bestFit="1" customWidth="1"/>
    <col min="8214" max="8214" width="14.7109375" style="80" customWidth="1"/>
    <col min="8215" max="8218" width="11.5703125" style="80" customWidth="1"/>
    <col min="8219" max="8219" width="10.7109375" style="80" bestFit="1" customWidth="1"/>
    <col min="8220" max="8462" width="9.140625" style="80"/>
    <col min="8463" max="8463" width="43.42578125" style="80" customWidth="1"/>
    <col min="8464" max="8464" width="13.85546875" style="80" bestFit="1" customWidth="1"/>
    <col min="8465" max="8468" width="11.5703125" style="80" customWidth="1"/>
    <col min="8469" max="8469" width="31.42578125" style="80" bestFit="1" customWidth="1"/>
    <col min="8470" max="8470" width="14.7109375" style="80" customWidth="1"/>
    <col min="8471" max="8474" width="11.5703125" style="80" customWidth="1"/>
    <col min="8475" max="8475" width="10.7109375" style="80" bestFit="1" customWidth="1"/>
    <col min="8476" max="8718" width="9.140625" style="80"/>
    <col min="8719" max="8719" width="43.42578125" style="80" customWidth="1"/>
    <col min="8720" max="8720" width="13.85546875" style="80" bestFit="1" customWidth="1"/>
    <col min="8721" max="8724" width="11.5703125" style="80" customWidth="1"/>
    <col min="8725" max="8725" width="31.42578125" style="80" bestFit="1" customWidth="1"/>
    <col min="8726" max="8726" width="14.7109375" style="80" customWidth="1"/>
    <col min="8727" max="8730" width="11.5703125" style="80" customWidth="1"/>
    <col min="8731" max="8731" width="10.7109375" style="80" bestFit="1" customWidth="1"/>
    <col min="8732" max="8974" width="9.140625" style="80"/>
    <col min="8975" max="8975" width="43.42578125" style="80" customWidth="1"/>
    <col min="8976" max="8976" width="13.85546875" style="80" bestFit="1" customWidth="1"/>
    <col min="8977" max="8980" width="11.5703125" style="80" customWidth="1"/>
    <col min="8981" max="8981" width="31.42578125" style="80" bestFit="1" customWidth="1"/>
    <col min="8982" max="8982" width="14.7109375" style="80" customWidth="1"/>
    <col min="8983" max="8986" width="11.5703125" style="80" customWidth="1"/>
    <col min="8987" max="8987" width="10.7109375" style="80" bestFit="1" customWidth="1"/>
    <col min="8988" max="9230" width="9.140625" style="80"/>
    <col min="9231" max="9231" width="43.42578125" style="80" customWidth="1"/>
    <col min="9232" max="9232" width="13.85546875" style="80" bestFit="1" customWidth="1"/>
    <col min="9233" max="9236" width="11.5703125" style="80" customWidth="1"/>
    <col min="9237" max="9237" width="31.42578125" style="80" bestFit="1" customWidth="1"/>
    <col min="9238" max="9238" width="14.7109375" style="80" customWidth="1"/>
    <col min="9239" max="9242" width="11.5703125" style="80" customWidth="1"/>
    <col min="9243" max="9243" width="10.7109375" style="80" bestFit="1" customWidth="1"/>
    <col min="9244" max="9486" width="9.140625" style="80"/>
    <col min="9487" max="9487" width="43.42578125" style="80" customWidth="1"/>
    <col min="9488" max="9488" width="13.85546875" style="80" bestFit="1" customWidth="1"/>
    <col min="9489" max="9492" width="11.5703125" style="80" customWidth="1"/>
    <col min="9493" max="9493" width="31.42578125" style="80" bestFit="1" customWidth="1"/>
    <col min="9494" max="9494" width="14.7109375" style="80" customWidth="1"/>
    <col min="9495" max="9498" width="11.5703125" style="80" customWidth="1"/>
    <col min="9499" max="9499" width="10.7109375" style="80" bestFit="1" customWidth="1"/>
    <col min="9500" max="9742" width="9.140625" style="80"/>
    <col min="9743" max="9743" width="43.42578125" style="80" customWidth="1"/>
    <col min="9744" max="9744" width="13.85546875" style="80" bestFit="1" customWidth="1"/>
    <col min="9745" max="9748" width="11.5703125" style="80" customWidth="1"/>
    <col min="9749" max="9749" width="31.42578125" style="80" bestFit="1" customWidth="1"/>
    <col min="9750" max="9750" width="14.7109375" style="80" customWidth="1"/>
    <col min="9751" max="9754" width="11.5703125" style="80" customWidth="1"/>
    <col min="9755" max="9755" width="10.7109375" style="80" bestFit="1" customWidth="1"/>
    <col min="9756" max="9998" width="9.140625" style="80"/>
    <col min="9999" max="9999" width="43.42578125" style="80" customWidth="1"/>
    <col min="10000" max="10000" width="13.85546875" style="80" bestFit="1" customWidth="1"/>
    <col min="10001" max="10004" width="11.5703125" style="80" customWidth="1"/>
    <col min="10005" max="10005" width="31.42578125" style="80" bestFit="1" customWidth="1"/>
    <col min="10006" max="10006" width="14.7109375" style="80" customWidth="1"/>
    <col min="10007" max="10010" width="11.5703125" style="80" customWidth="1"/>
    <col min="10011" max="10011" width="10.7109375" style="80" bestFit="1" customWidth="1"/>
    <col min="10012" max="10254" width="9.140625" style="80"/>
    <col min="10255" max="10255" width="43.42578125" style="80" customWidth="1"/>
    <col min="10256" max="10256" width="13.85546875" style="80" bestFit="1" customWidth="1"/>
    <col min="10257" max="10260" width="11.5703125" style="80" customWidth="1"/>
    <col min="10261" max="10261" width="31.42578125" style="80" bestFit="1" customWidth="1"/>
    <col min="10262" max="10262" width="14.7109375" style="80" customWidth="1"/>
    <col min="10263" max="10266" width="11.5703125" style="80" customWidth="1"/>
    <col min="10267" max="10267" width="10.7109375" style="80" bestFit="1" customWidth="1"/>
    <col min="10268" max="10510" width="9.140625" style="80"/>
    <col min="10511" max="10511" width="43.42578125" style="80" customWidth="1"/>
    <col min="10512" max="10512" width="13.85546875" style="80" bestFit="1" customWidth="1"/>
    <col min="10513" max="10516" width="11.5703125" style="80" customWidth="1"/>
    <col min="10517" max="10517" width="31.42578125" style="80" bestFit="1" customWidth="1"/>
    <col min="10518" max="10518" width="14.7109375" style="80" customWidth="1"/>
    <col min="10519" max="10522" width="11.5703125" style="80" customWidth="1"/>
    <col min="10523" max="10523" width="10.7109375" style="80" bestFit="1" customWidth="1"/>
    <col min="10524" max="10766" width="9.140625" style="80"/>
    <col min="10767" max="10767" width="43.42578125" style="80" customWidth="1"/>
    <col min="10768" max="10768" width="13.85546875" style="80" bestFit="1" customWidth="1"/>
    <col min="10769" max="10772" width="11.5703125" style="80" customWidth="1"/>
    <col min="10773" max="10773" width="31.42578125" style="80" bestFit="1" customWidth="1"/>
    <col min="10774" max="10774" width="14.7109375" style="80" customWidth="1"/>
    <col min="10775" max="10778" width="11.5703125" style="80" customWidth="1"/>
    <col min="10779" max="10779" width="10.7109375" style="80" bestFit="1" customWidth="1"/>
    <col min="10780" max="11022" width="9.140625" style="80"/>
    <col min="11023" max="11023" width="43.42578125" style="80" customWidth="1"/>
    <col min="11024" max="11024" width="13.85546875" style="80" bestFit="1" customWidth="1"/>
    <col min="11025" max="11028" width="11.5703125" style="80" customWidth="1"/>
    <col min="11029" max="11029" width="31.42578125" style="80" bestFit="1" customWidth="1"/>
    <col min="11030" max="11030" width="14.7109375" style="80" customWidth="1"/>
    <col min="11031" max="11034" width="11.5703125" style="80" customWidth="1"/>
    <col min="11035" max="11035" width="10.7109375" style="80" bestFit="1" customWidth="1"/>
    <col min="11036" max="11278" width="9.140625" style="80"/>
    <col min="11279" max="11279" width="43.42578125" style="80" customWidth="1"/>
    <col min="11280" max="11280" width="13.85546875" style="80" bestFit="1" customWidth="1"/>
    <col min="11281" max="11284" width="11.5703125" style="80" customWidth="1"/>
    <col min="11285" max="11285" width="31.42578125" style="80" bestFit="1" customWidth="1"/>
    <col min="11286" max="11286" width="14.7109375" style="80" customWidth="1"/>
    <col min="11287" max="11290" width="11.5703125" style="80" customWidth="1"/>
    <col min="11291" max="11291" width="10.7109375" style="80" bestFit="1" customWidth="1"/>
    <col min="11292" max="11534" width="9.140625" style="80"/>
    <col min="11535" max="11535" width="43.42578125" style="80" customWidth="1"/>
    <col min="11536" max="11536" width="13.85546875" style="80" bestFit="1" customWidth="1"/>
    <col min="11537" max="11540" width="11.5703125" style="80" customWidth="1"/>
    <col min="11541" max="11541" width="31.42578125" style="80" bestFit="1" customWidth="1"/>
    <col min="11542" max="11542" width="14.7109375" style="80" customWidth="1"/>
    <col min="11543" max="11546" width="11.5703125" style="80" customWidth="1"/>
    <col min="11547" max="11547" width="10.7109375" style="80" bestFit="1" customWidth="1"/>
    <col min="11548" max="11790" width="9.140625" style="80"/>
    <col min="11791" max="11791" width="43.42578125" style="80" customWidth="1"/>
    <col min="11792" max="11792" width="13.85546875" style="80" bestFit="1" customWidth="1"/>
    <col min="11793" max="11796" width="11.5703125" style="80" customWidth="1"/>
    <col min="11797" max="11797" width="31.42578125" style="80" bestFit="1" customWidth="1"/>
    <col min="11798" max="11798" width="14.7109375" style="80" customWidth="1"/>
    <col min="11799" max="11802" width="11.5703125" style="80" customWidth="1"/>
    <col min="11803" max="11803" width="10.7109375" style="80" bestFit="1" customWidth="1"/>
    <col min="11804" max="12046" width="9.140625" style="80"/>
    <col min="12047" max="12047" width="43.42578125" style="80" customWidth="1"/>
    <col min="12048" max="12048" width="13.85546875" style="80" bestFit="1" customWidth="1"/>
    <col min="12049" max="12052" width="11.5703125" style="80" customWidth="1"/>
    <col min="12053" max="12053" width="31.42578125" style="80" bestFit="1" customWidth="1"/>
    <col min="12054" max="12054" width="14.7109375" style="80" customWidth="1"/>
    <col min="12055" max="12058" width="11.5703125" style="80" customWidth="1"/>
    <col min="12059" max="12059" width="10.7109375" style="80" bestFit="1" customWidth="1"/>
    <col min="12060" max="12302" width="9.140625" style="80"/>
    <col min="12303" max="12303" width="43.42578125" style="80" customWidth="1"/>
    <col min="12304" max="12304" width="13.85546875" style="80" bestFit="1" customWidth="1"/>
    <col min="12305" max="12308" width="11.5703125" style="80" customWidth="1"/>
    <col min="12309" max="12309" width="31.42578125" style="80" bestFit="1" customWidth="1"/>
    <col min="12310" max="12310" width="14.7109375" style="80" customWidth="1"/>
    <col min="12311" max="12314" width="11.5703125" style="80" customWidth="1"/>
    <col min="12315" max="12315" width="10.7109375" style="80" bestFit="1" customWidth="1"/>
    <col min="12316" max="12558" width="9.140625" style="80"/>
    <col min="12559" max="12559" width="43.42578125" style="80" customWidth="1"/>
    <col min="12560" max="12560" width="13.85546875" style="80" bestFit="1" customWidth="1"/>
    <col min="12561" max="12564" width="11.5703125" style="80" customWidth="1"/>
    <col min="12565" max="12565" width="31.42578125" style="80" bestFit="1" customWidth="1"/>
    <col min="12566" max="12566" width="14.7109375" style="80" customWidth="1"/>
    <col min="12567" max="12570" width="11.5703125" style="80" customWidth="1"/>
    <col min="12571" max="12571" width="10.7109375" style="80" bestFit="1" customWidth="1"/>
    <col min="12572" max="12814" width="9.140625" style="80"/>
    <col min="12815" max="12815" width="43.42578125" style="80" customWidth="1"/>
    <col min="12816" max="12816" width="13.85546875" style="80" bestFit="1" customWidth="1"/>
    <col min="12817" max="12820" width="11.5703125" style="80" customWidth="1"/>
    <col min="12821" max="12821" width="31.42578125" style="80" bestFit="1" customWidth="1"/>
    <col min="12822" max="12822" width="14.7109375" style="80" customWidth="1"/>
    <col min="12823" max="12826" width="11.5703125" style="80" customWidth="1"/>
    <col min="12827" max="12827" width="10.7109375" style="80" bestFit="1" customWidth="1"/>
    <col min="12828" max="13070" width="9.140625" style="80"/>
    <col min="13071" max="13071" width="43.42578125" style="80" customWidth="1"/>
    <col min="13072" max="13072" width="13.85546875" style="80" bestFit="1" customWidth="1"/>
    <col min="13073" max="13076" width="11.5703125" style="80" customWidth="1"/>
    <col min="13077" max="13077" width="31.42578125" style="80" bestFit="1" customWidth="1"/>
    <col min="13078" max="13078" width="14.7109375" style="80" customWidth="1"/>
    <col min="13079" max="13082" width="11.5703125" style="80" customWidth="1"/>
    <col min="13083" max="13083" width="10.7109375" style="80" bestFit="1" customWidth="1"/>
    <col min="13084" max="13326" width="9.140625" style="80"/>
    <col min="13327" max="13327" width="43.42578125" style="80" customWidth="1"/>
    <col min="13328" max="13328" width="13.85546875" style="80" bestFit="1" customWidth="1"/>
    <col min="13329" max="13332" width="11.5703125" style="80" customWidth="1"/>
    <col min="13333" max="13333" width="31.42578125" style="80" bestFit="1" customWidth="1"/>
    <col min="13334" max="13334" width="14.7109375" style="80" customWidth="1"/>
    <col min="13335" max="13338" width="11.5703125" style="80" customWidth="1"/>
    <col min="13339" max="13339" width="10.7109375" style="80" bestFit="1" customWidth="1"/>
    <col min="13340" max="13582" width="9.140625" style="80"/>
    <col min="13583" max="13583" width="43.42578125" style="80" customWidth="1"/>
    <col min="13584" max="13584" width="13.85546875" style="80" bestFit="1" customWidth="1"/>
    <col min="13585" max="13588" width="11.5703125" style="80" customWidth="1"/>
    <col min="13589" max="13589" width="31.42578125" style="80" bestFit="1" customWidth="1"/>
    <col min="13590" max="13590" width="14.7109375" style="80" customWidth="1"/>
    <col min="13591" max="13594" width="11.5703125" style="80" customWidth="1"/>
    <col min="13595" max="13595" width="10.7109375" style="80" bestFit="1" customWidth="1"/>
    <col min="13596" max="13838" width="9.140625" style="80"/>
    <col min="13839" max="13839" width="43.42578125" style="80" customWidth="1"/>
    <col min="13840" max="13840" width="13.85546875" style="80" bestFit="1" customWidth="1"/>
    <col min="13841" max="13844" width="11.5703125" style="80" customWidth="1"/>
    <col min="13845" max="13845" width="31.42578125" style="80" bestFit="1" customWidth="1"/>
    <col min="13846" max="13846" width="14.7109375" style="80" customWidth="1"/>
    <col min="13847" max="13850" width="11.5703125" style="80" customWidth="1"/>
    <col min="13851" max="13851" width="10.7109375" style="80" bestFit="1" customWidth="1"/>
    <col min="13852" max="14094" width="9.140625" style="80"/>
    <col min="14095" max="14095" width="43.42578125" style="80" customWidth="1"/>
    <col min="14096" max="14096" width="13.85546875" style="80" bestFit="1" customWidth="1"/>
    <col min="14097" max="14100" width="11.5703125" style="80" customWidth="1"/>
    <col min="14101" max="14101" width="31.42578125" style="80" bestFit="1" customWidth="1"/>
    <col min="14102" max="14102" width="14.7109375" style="80" customWidth="1"/>
    <col min="14103" max="14106" width="11.5703125" style="80" customWidth="1"/>
    <col min="14107" max="14107" width="10.7109375" style="80" bestFit="1" customWidth="1"/>
    <col min="14108" max="14350" width="9.140625" style="80"/>
    <col min="14351" max="14351" width="43.42578125" style="80" customWidth="1"/>
    <col min="14352" max="14352" width="13.85546875" style="80" bestFit="1" customWidth="1"/>
    <col min="14353" max="14356" width="11.5703125" style="80" customWidth="1"/>
    <col min="14357" max="14357" width="31.42578125" style="80" bestFit="1" customWidth="1"/>
    <col min="14358" max="14358" width="14.7109375" style="80" customWidth="1"/>
    <col min="14359" max="14362" width="11.5703125" style="80" customWidth="1"/>
    <col min="14363" max="14363" width="10.7109375" style="80" bestFit="1" customWidth="1"/>
    <col min="14364" max="14606" width="9.140625" style="80"/>
    <col min="14607" max="14607" width="43.42578125" style="80" customWidth="1"/>
    <col min="14608" max="14608" width="13.85546875" style="80" bestFit="1" customWidth="1"/>
    <col min="14609" max="14612" width="11.5703125" style="80" customWidth="1"/>
    <col min="14613" max="14613" width="31.42578125" style="80" bestFit="1" customWidth="1"/>
    <col min="14614" max="14614" width="14.7109375" style="80" customWidth="1"/>
    <col min="14615" max="14618" width="11.5703125" style="80" customWidth="1"/>
    <col min="14619" max="14619" width="10.7109375" style="80" bestFit="1" customWidth="1"/>
    <col min="14620" max="14862" width="9.140625" style="80"/>
    <col min="14863" max="14863" width="43.42578125" style="80" customWidth="1"/>
    <col min="14864" max="14864" width="13.85546875" style="80" bestFit="1" customWidth="1"/>
    <col min="14865" max="14868" width="11.5703125" style="80" customWidth="1"/>
    <col min="14869" max="14869" width="31.42578125" style="80" bestFit="1" customWidth="1"/>
    <col min="14870" max="14870" width="14.7109375" style="80" customWidth="1"/>
    <col min="14871" max="14874" width="11.5703125" style="80" customWidth="1"/>
    <col min="14875" max="14875" width="10.7109375" style="80" bestFit="1" customWidth="1"/>
    <col min="14876" max="15118" width="9.140625" style="80"/>
    <col min="15119" max="15119" width="43.42578125" style="80" customWidth="1"/>
    <col min="15120" max="15120" width="13.85546875" style="80" bestFit="1" customWidth="1"/>
    <col min="15121" max="15124" width="11.5703125" style="80" customWidth="1"/>
    <col min="15125" max="15125" width="31.42578125" style="80" bestFit="1" customWidth="1"/>
    <col min="15126" max="15126" width="14.7109375" style="80" customWidth="1"/>
    <col min="15127" max="15130" width="11.5703125" style="80" customWidth="1"/>
    <col min="15131" max="15131" width="10.7109375" style="80" bestFit="1" customWidth="1"/>
    <col min="15132" max="15374" width="9.140625" style="80"/>
    <col min="15375" max="15375" width="43.42578125" style="80" customWidth="1"/>
    <col min="15376" max="15376" width="13.85546875" style="80" bestFit="1" customWidth="1"/>
    <col min="15377" max="15380" width="11.5703125" style="80" customWidth="1"/>
    <col min="15381" max="15381" width="31.42578125" style="80" bestFit="1" customWidth="1"/>
    <col min="15382" max="15382" width="14.7109375" style="80" customWidth="1"/>
    <col min="15383" max="15386" width="11.5703125" style="80" customWidth="1"/>
    <col min="15387" max="15387" width="10.7109375" style="80" bestFit="1" customWidth="1"/>
    <col min="15388" max="15630" width="9.140625" style="80"/>
    <col min="15631" max="15631" width="43.42578125" style="80" customWidth="1"/>
    <col min="15632" max="15632" width="13.85546875" style="80" bestFit="1" customWidth="1"/>
    <col min="15633" max="15636" width="11.5703125" style="80" customWidth="1"/>
    <col min="15637" max="15637" width="31.42578125" style="80" bestFit="1" customWidth="1"/>
    <col min="15638" max="15638" width="14.7109375" style="80" customWidth="1"/>
    <col min="15639" max="15642" width="11.5703125" style="80" customWidth="1"/>
    <col min="15643" max="15643" width="10.7109375" style="80" bestFit="1" customWidth="1"/>
    <col min="15644" max="15886" width="9.140625" style="80"/>
    <col min="15887" max="15887" width="43.42578125" style="80" customWidth="1"/>
    <col min="15888" max="15888" width="13.85546875" style="80" bestFit="1" customWidth="1"/>
    <col min="15889" max="15892" width="11.5703125" style="80" customWidth="1"/>
    <col min="15893" max="15893" width="31.42578125" style="80" bestFit="1" customWidth="1"/>
    <col min="15894" max="15894" width="14.7109375" style="80" customWidth="1"/>
    <col min="15895" max="15898" width="11.5703125" style="80" customWidth="1"/>
    <col min="15899" max="15899" width="10.7109375" style="80" bestFit="1" customWidth="1"/>
    <col min="15900" max="16142" width="9.140625" style="80"/>
    <col min="16143" max="16143" width="43.42578125" style="80" customWidth="1"/>
    <col min="16144" max="16144" width="13.85546875" style="80" bestFit="1" customWidth="1"/>
    <col min="16145" max="16148" width="11.5703125" style="80" customWidth="1"/>
    <col min="16149" max="16149" width="31.42578125" style="80" bestFit="1" customWidth="1"/>
    <col min="16150" max="16150" width="14.7109375" style="80" customWidth="1"/>
    <col min="16151" max="16154" width="11.5703125" style="80" customWidth="1"/>
    <col min="16155" max="16384" width="9.140625" style="80"/>
  </cols>
  <sheetData>
    <row r="1" spans="2:28" ht="17.25" x14ac:dyDescent="0.3">
      <c r="B1" s="437" t="s">
        <v>189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79"/>
      <c r="X1" s="79"/>
      <c r="Y1" s="79"/>
      <c r="Z1" s="79"/>
      <c r="AB1" s="81"/>
    </row>
    <row r="2" spans="2:28" ht="17.25" x14ac:dyDescent="0.3">
      <c r="B2" s="437" t="s">
        <v>355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79"/>
      <c r="X2" s="79"/>
      <c r="Y2" s="79"/>
      <c r="Z2" s="79"/>
      <c r="AB2" s="81"/>
    </row>
    <row r="3" spans="2:28" ht="17.25" x14ac:dyDescent="0.3">
      <c r="B3" s="437" t="s">
        <v>161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79"/>
      <c r="X3" s="79"/>
      <c r="Y3" s="79"/>
      <c r="Z3" s="79"/>
      <c r="AB3" s="81"/>
    </row>
    <row r="4" spans="2:28" ht="15.75" thickBot="1" x14ac:dyDescent="0.3">
      <c r="I4" s="79"/>
      <c r="J4" s="79"/>
      <c r="K4" s="79"/>
      <c r="L4" s="79"/>
      <c r="M4" s="79"/>
      <c r="N4" s="79"/>
      <c r="O4" s="79"/>
      <c r="P4" s="79"/>
      <c r="Q4" s="79"/>
      <c r="R4" s="79"/>
      <c r="S4" s="246"/>
      <c r="T4" s="79"/>
      <c r="U4" s="246"/>
      <c r="V4" s="79"/>
      <c r="W4" s="79"/>
      <c r="X4" s="79"/>
      <c r="Y4" s="79"/>
      <c r="Z4" s="79"/>
      <c r="AA4" s="81"/>
      <c r="AB4" s="81"/>
    </row>
    <row r="5" spans="2:28" ht="17.25" customHeight="1" thickBot="1" x14ac:dyDescent="0.3">
      <c r="B5" s="83" t="s">
        <v>191</v>
      </c>
      <c r="C5" s="84" t="s">
        <v>192</v>
      </c>
      <c r="D5" s="247" t="s">
        <v>369</v>
      </c>
      <c r="E5" s="247" t="s">
        <v>598</v>
      </c>
      <c r="F5" s="248" t="s">
        <v>356</v>
      </c>
      <c r="G5" s="84"/>
      <c r="H5" s="249">
        <v>2012</v>
      </c>
      <c r="I5" s="85">
        <v>2013</v>
      </c>
      <c r="J5" s="86" t="s">
        <v>193</v>
      </c>
      <c r="K5" s="86" t="s">
        <v>194</v>
      </c>
      <c r="L5" s="86" t="s">
        <v>193</v>
      </c>
      <c r="M5" s="86" t="s">
        <v>617</v>
      </c>
      <c r="N5" s="86"/>
      <c r="O5" s="87" t="s">
        <v>195</v>
      </c>
      <c r="P5" s="88" t="s">
        <v>192</v>
      </c>
      <c r="Q5" s="247" t="s">
        <v>369</v>
      </c>
      <c r="R5" s="373" t="s">
        <v>598</v>
      </c>
      <c r="S5" s="250" t="s">
        <v>356</v>
      </c>
      <c r="T5" s="88"/>
      <c r="U5" s="251">
        <v>2012</v>
      </c>
      <c r="V5" s="90">
        <v>2013</v>
      </c>
      <c r="W5" s="91" t="s">
        <v>193</v>
      </c>
      <c r="X5" s="251" t="s">
        <v>193</v>
      </c>
      <c r="Y5" s="251"/>
      <c r="Z5" s="92"/>
    </row>
    <row r="6" spans="2:28" x14ac:dyDescent="0.25">
      <c r="B6" s="93"/>
      <c r="C6" s="94"/>
      <c r="D6" s="94"/>
      <c r="E6" s="94"/>
      <c r="F6" s="252"/>
      <c r="G6" s="94"/>
      <c r="H6" s="253"/>
      <c r="I6" s="96"/>
      <c r="J6" s="96"/>
      <c r="K6" s="96"/>
      <c r="L6" s="96"/>
      <c r="M6" s="96"/>
      <c r="N6" s="96"/>
      <c r="O6" s="97"/>
      <c r="P6" s="98"/>
      <c r="Q6" s="98"/>
      <c r="R6" s="98"/>
      <c r="S6" s="254"/>
      <c r="T6" s="98"/>
      <c r="U6" s="255"/>
      <c r="V6" s="99"/>
      <c r="W6" s="99"/>
      <c r="X6" s="99"/>
      <c r="Y6" s="99"/>
      <c r="Z6" s="100"/>
    </row>
    <row r="7" spans="2:28" x14ac:dyDescent="0.25">
      <c r="B7" s="101" t="s">
        <v>196</v>
      </c>
      <c r="C7" s="102" t="s">
        <v>197</v>
      </c>
      <c r="D7" s="102"/>
      <c r="E7" s="102"/>
      <c r="F7" s="256"/>
      <c r="G7" s="102"/>
      <c r="H7" s="257"/>
      <c r="I7" s="104"/>
      <c r="J7" s="104"/>
      <c r="K7" s="104"/>
      <c r="L7" s="104"/>
      <c r="M7" s="104"/>
      <c r="N7" s="104"/>
      <c r="O7" s="105" t="s">
        <v>198</v>
      </c>
      <c r="P7" s="102" t="s">
        <v>199</v>
      </c>
      <c r="Q7" s="102"/>
      <c r="R7" s="102"/>
      <c r="S7" s="256"/>
      <c r="T7" s="102"/>
      <c r="U7" s="258"/>
      <c r="V7" s="106"/>
      <c r="W7" s="106"/>
      <c r="X7" s="106"/>
      <c r="Y7" s="106"/>
      <c r="Z7" s="107"/>
    </row>
    <row r="8" spans="2:28" x14ac:dyDescent="0.25">
      <c r="B8" s="108" t="s">
        <v>200</v>
      </c>
      <c r="C8" s="109" t="s">
        <v>201</v>
      </c>
      <c r="D8" s="103">
        <v>4</v>
      </c>
      <c r="E8" s="103"/>
      <c r="F8" s="259"/>
      <c r="G8" s="109"/>
      <c r="H8" s="257"/>
      <c r="I8" s="103"/>
      <c r="J8" s="103"/>
      <c r="K8" s="103"/>
      <c r="L8" s="103"/>
      <c r="M8" s="103"/>
      <c r="N8" s="103"/>
      <c r="O8" s="110" t="s">
        <v>202</v>
      </c>
      <c r="P8" s="109" t="s">
        <v>203</v>
      </c>
      <c r="Q8" s="103">
        <v>10</v>
      </c>
      <c r="R8" s="103"/>
      <c r="S8" s="260"/>
      <c r="T8" s="111"/>
      <c r="U8" s="261"/>
      <c r="V8" s="113"/>
      <c r="W8" s="95"/>
      <c r="X8" s="95"/>
      <c r="Y8" s="95"/>
      <c r="Z8" s="114"/>
    </row>
    <row r="9" spans="2:28" x14ac:dyDescent="0.25">
      <c r="B9" s="115" t="s">
        <v>142</v>
      </c>
      <c r="C9" s="109" t="s">
        <v>204</v>
      </c>
      <c r="D9" s="103"/>
      <c r="E9" s="103"/>
      <c r="F9" s="259"/>
      <c r="G9" s="109"/>
      <c r="H9" s="257"/>
      <c r="I9" s="103"/>
      <c r="J9" s="95"/>
      <c r="K9" s="95"/>
      <c r="L9" s="95"/>
      <c r="M9" s="95"/>
      <c r="N9" s="95"/>
      <c r="O9" s="116" t="s">
        <v>205</v>
      </c>
      <c r="P9" s="109" t="s">
        <v>206</v>
      </c>
      <c r="Q9" s="111"/>
      <c r="R9" s="111"/>
      <c r="S9" s="260"/>
      <c r="T9" s="111"/>
      <c r="U9" s="261"/>
      <c r="V9" s="113"/>
      <c r="W9" s="95"/>
      <c r="X9" s="95"/>
      <c r="Y9" s="95"/>
      <c r="Z9" s="114"/>
    </row>
    <row r="10" spans="2:28" x14ac:dyDescent="0.25">
      <c r="B10" s="117" t="s">
        <v>142</v>
      </c>
      <c r="C10" s="111" t="s">
        <v>207</v>
      </c>
      <c r="D10" s="103"/>
      <c r="E10" s="103"/>
      <c r="F10" s="393">
        <f>'[1]Raz x1 '!C22</f>
        <v>324293.48</v>
      </c>
      <c r="G10" s="394"/>
      <c r="H10" s="393">
        <v>371425</v>
      </c>
      <c r="I10" s="395"/>
      <c r="J10" s="395"/>
      <c r="K10" s="395"/>
      <c r="L10" s="395">
        <f>F10-H10</f>
        <v>-47131.520000000019</v>
      </c>
      <c r="M10" s="95"/>
      <c r="N10" s="95"/>
      <c r="O10" s="118" t="s">
        <v>205</v>
      </c>
      <c r="P10" s="111" t="s">
        <v>208</v>
      </c>
      <c r="Q10" s="111"/>
      <c r="R10" s="103" t="s">
        <v>599</v>
      </c>
      <c r="S10" s="260">
        <f>'[1]Raz x1 '!AC33</f>
        <v>0</v>
      </c>
      <c r="T10" s="111"/>
      <c r="U10" s="253">
        <v>32500</v>
      </c>
      <c r="V10" s="95"/>
      <c r="W10" s="95"/>
      <c r="X10" s="95">
        <f>S10-U10</f>
        <v>-32500</v>
      </c>
      <c r="Y10" s="95" t="s">
        <v>140</v>
      </c>
      <c r="Z10" s="114"/>
    </row>
    <row r="11" spans="2:28" x14ac:dyDescent="0.25">
      <c r="B11" s="108" t="s">
        <v>370</v>
      </c>
      <c r="C11" s="109" t="s">
        <v>209</v>
      </c>
      <c r="D11" s="103">
        <v>5</v>
      </c>
      <c r="E11" s="103"/>
      <c r="F11" s="253"/>
      <c r="G11" s="111"/>
      <c r="H11" s="253"/>
      <c r="I11" s="95"/>
      <c r="J11" s="95"/>
      <c r="K11" s="95"/>
      <c r="L11" s="95"/>
      <c r="M11" s="95"/>
      <c r="N11" s="95"/>
      <c r="O11" s="118" t="s">
        <v>210</v>
      </c>
      <c r="P11" s="111" t="s">
        <v>211</v>
      </c>
      <c r="Q11" s="119"/>
      <c r="R11" s="103" t="s">
        <v>599</v>
      </c>
      <c r="S11" s="262"/>
      <c r="T11" s="119"/>
      <c r="U11" s="253">
        <v>-638</v>
      </c>
      <c r="V11" s="95"/>
      <c r="W11" s="95"/>
      <c r="X11" s="95">
        <f t="shared" ref="X11:X25" si="0">S11-U11</f>
        <v>638</v>
      </c>
      <c r="Y11" s="95" t="s">
        <v>606</v>
      </c>
      <c r="Z11" s="114"/>
    </row>
    <row r="12" spans="2:28" x14ac:dyDescent="0.25">
      <c r="B12" s="115" t="s">
        <v>370</v>
      </c>
      <c r="C12" s="109" t="s">
        <v>212</v>
      </c>
      <c r="D12" s="103"/>
      <c r="E12" s="103"/>
      <c r="F12" s="253"/>
      <c r="G12" s="111"/>
      <c r="H12" s="253"/>
      <c r="I12" s="95"/>
      <c r="J12" s="95"/>
      <c r="K12" s="95"/>
      <c r="L12" s="95"/>
      <c r="M12" s="95"/>
      <c r="N12" s="95"/>
      <c r="O12" s="121" t="s">
        <v>371</v>
      </c>
      <c r="P12" s="109" t="s">
        <v>372</v>
      </c>
      <c r="Q12" s="103">
        <v>11</v>
      </c>
      <c r="R12" s="103"/>
      <c r="S12" s="260"/>
      <c r="T12" s="111"/>
      <c r="U12" s="253"/>
      <c r="V12" s="95"/>
      <c r="W12" s="95"/>
      <c r="X12" s="95"/>
      <c r="Y12" s="95"/>
      <c r="Z12" s="114"/>
    </row>
    <row r="13" spans="2:28" x14ac:dyDescent="0.25">
      <c r="B13" s="117" t="s">
        <v>373</v>
      </c>
      <c r="C13" s="111" t="s">
        <v>374</v>
      </c>
      <c r="D13" s="103"/>
      <c r="E13" s="103" t="s">
        <v>599</v>
      </c>
      <c r="F13" s="253">
        <f>'[1]Raz x1 '!BU22</f>
        <v>1200</v>
      </c>
      <c r="G13" s="111"/>
      <c r="H13" s="253"/>
      <c r="I13" s="95"/>
      <c r="J13" s="95"/>
      <c r="K13" s="95"/>
      <c r="L13" s="95">
        <f t="shared" ref="L13:L35" si="1">F13-H13</f>
        <v>1200</v>
      </c>
      <c r="M13" s="95" t="s">
        <v>140</v>
      </c>
      <c r="N13" s="95"/>
      <c r="O13" s="122" t="s">
        <v>371</v>
      </c>
      <c r="P13" s="109" t="s">
        <v>375</v>
      </c>
      <c r="Q13" s="111"/>
      <c r="R13" s="111"/>
      <c r="S13" s="260"/>
      <c r="T13" s="111"/>
      <c r="U13" s="253"/>
      <c r="V13" s="95"/>
      <c r="W13" s="95"/>
      <c r="X13" s="95"/>
      <c r="Y13" s="95"/>
      <c r="Z13" s="114"/>
    </row>
    <row r="14" spans="2:28" x14ac:dyDescent="0.25">
      <c r="B14" s="117" t="s">
        <v>376</v>
      </c>
      <c r="C14" s="111" t="s">
        <v>377</v>
      </c>
      <c r="D14" s="103"/>
      <c r="E14" s="103" t="s">
        <v>599</v>
      </c>
      <c r="F14" s="253">
        <f>'[1]Raz x1 '!BZ22</f>
        <v>0</v>
      </c>
      <c r="G14" s="111"/>
      <c r="H14" s="253"/>
      <c r="I14" s="95"/>
      <c r="J14" s="95"/>
      <c r="K14" s="95"/>
      <c r="L14" s="95"/>
      <c r="M14" s="95"/>
      <c r="N14" s="95"/>
      <c r="O14" s="123" t="s">
        <v>371</v>
      </c>
      <c r="P14" s="111" t="s">
        <v>378</v>
      </c>
      <c r="Q14" s="111"/>
      <c r="R14" s="103" t="s">
        <v>599</v>
      </c>
      <c r="S14" s="260">
        <f>'[1]Raz x1 '!I33</f>
        <v>3900</v>
      </c>
      <c r="T14" s="111"/>
      <c r="U14" s="253"/>
      <c r="V14" s="95"/>
      <c r="W14" s="95"/>
      <c r="X14" s="95">
        <f t="shared" si="0"/>
        <v>3900</v>
      </c>
      <c r="Y14" s="95" t="s">
        <v>606</v>
      </c>
      <c r="Z14" s="114"/>
    </row>
    <row r="15" spans="2:28" x14ac:dyDescent="0.25">
      <c r="B15" s="117" t="s">
        <v>379</v>
      </c>
      <c r="C15" s="111" t="s">
        <v>380</v>
      </c>
      <c r="D15" s="103"/>
      <c r="E15" s="103" t="s">
        <v>599</v>
      </c>
      <c r="F15" s="253">
        <f>'[1]Raz x1 '!CE22</f>
        <v>6000</v>
      </c>
      <c r="G15" s="111"/>
      <c r="H15" s="253"/>
      <c r="I15" s="95"/>
      <c r="J15" s="95"/>
      <c r="K15" s="95"/>
      <c r="L15" s="95">
        <f t="shared" si="1"/>
        <v>6000</v>
      </c>
      <c r="M15" s="95" t="s">
        <v>140</v>
      </c>
      <c r="N15" s="95"/>
      <c r="O15" s="123" t="s">
        <v>210</v>
      </c>
      <c r="P15" s="111" t="s">
        <v>381</v>
      </c>
      <c r="Q15" s="111"/>
      <c r="R15" s="103" t="s">
        <v>599</v>
      </c>
      <c r="S15" s="260">
        <f>-'Raz x1 '!W33</f>
        <v>-224</v>
      </c>
      <c r="T15" s="111"/>
      <c r="U15" s="253"/>
      <c r="V15" s="95"/>
      <c r="W15" s="95"/>
      <c r="X15" s="95">
        <f t="shared" si="0"/>
        <v>-224</v>
      </c>
      <c r="Y15" s="95" t="s">
        <v>140</v>
      </c>
      <c r="Z15" s="114"/>
    </row>
    <row r="16" spans="2:28" x14ac:dyDescent="0.25">
      <c r="B16" s="108" t="s">
        <v>143</v>
      </c>
      <c r="C16" s="109" t="s">
        <v>382</v>
      </c>
      <c r="D16" s="103">
        <v>6</v>
      </c>
      <c r="E16" s="103"/>
      <c r="F16" s="253"/>
      <c r="G16" s="111"/>
      <c r="H16" s="253"/>
      <c r="I16" s="95"/>
      <c r="J16" s="95"/>
      <c r="K16" s="95"/>
      <c r="L16" s="95"/>
      <c r="M16" s="95"/>
      <c r="N16" s="95"/>
      <c r="O16" s="122"/>
      <c r="P16" s="109"/>
      <c r="Q16" s="111"/>
      <c r="R16" s="111"/>
      <c r="S16" s="260"/>
      <c r="T16" s="111"/>
      <c r="U16" s="253"/>
      <c r="V16" s="95"/>
      <c r="W16" s="95"/>
      <c r="X16" s="95"/>
      <c r="Y16" s="95"/>
      <c r="Z16" s="120"/>
    </row>
    <row r="17" spans="2:26" x14ac:dyDescent="0.25">
      <c r="B17" s="115" t="s">
        <v>143</v>
      </c>
      <c r="C17" s="109" t="s">
        <v>383</v>
      </c>
      <c r="D17" s="111"/>
      <c r="E17" s="111"/>
      <c r="F17" s="253"/>
      <c r="G17" s="111"/>
      <c r="H17" s="253"/>
      <c r="I17" s="95"/>
      <c r="J17" s="95"/>
      <c r="K17" s="95"/>
      <c r="L17" s="95"/>
      <c r="M17" s="95"/>
      <c r="N17" s="95"/>
      <c r="O17" s="121" t="s">
        <v>213</v>
      </c>
      <c r="P17" s="109" t="s">
        <v>214</v>
      </c>
      <c r="Q17" s="95"/>
      <c r="R17" s="95"/>
      <c r="S17" s="260"/>
      <c r="T17" s="111"/>
      <c r="U17" s="253"/>
      <c r="V17" s="95"/>
      <c r="W17" s="95"/>
      <c r="X17" s="95"/>
      <c r="Y17" s="95"/>
      <c r="Z17" s="114"/>
    </row>
    <row r="18" spans="2:26" x14ac:dyDescent="0.25">
      <c r="B18" s="117" t="s">
        <v>143</v>
      </c>
      <c r="C18" s="111" t="s">
        <v>384</v>
      </c>
      <c r="D18" s="111"/>
      <c r="E18" s="103" t="s">
        <v>599</v>
      </c>
      <c r="F18" s="253">
        <f>'[1]Raz x1 '!M22</f>
        <v>43750</v>
      </c>
      <c r="G18" s="111"/>
      <c r="H18" s="253">
        <v>32500</v>
      </c>
      <c r="I18" s="95"/>
      <c r="J18" s="95"/>
      <c r="K18" s="95"/>
      <c r="L18" s="95">
        <f t="shared" si="1"/>
        <v>11250</v>
      </c>
      <c r="M18" s="95" t="s">
        <v>140</v>
      </c>
      <c r="N18" s="95"/>
      <c r="O18" s="122" t="s">
        <v>216</v>
      </c>
      <c r="P18" s="109" t="s">
        <v>385</v>
      </c>
      <c r="Q18" s="111"/>
      <c r="R18" s="111"/>
      <c r="S18" s="260"/>
      <c r="T18" s="111"/>
      <c r="U18" s="253"/>
      <c r="V18" s="95"/>
      <c r="W18" s="95"/>
      <c r="X18" s="95"/>
      <c r="Y18" s="95"/>
      <c r="Z18" s="114"/>
    </row>
    <row r="19" spans="2:26" x14ac:dyDescent="0.25">
      <c r="B19" s="115" t="s">
        <v>386</v>
      </c>
      <c r="C19" s="109" t="s">
        <v>387</v>
      </c>
      <c r="D19" s="111"/>
      <c r="E19" s="111"/>
      <c r="F19" s="253"/>
      <c r="G19" s="111"/>
      <c r="H19" s="253"/>
      <c r="I19" s="95"/>
      <c r="J19" s="95"/>
      <c r="K19" s="95"/>
      <c r="L19" s="95"/>
      <c r="M19" s="95"/>
      <c r="N19" s="95"/>
      <c r="O19" s="123" t="s">
        <v>220</v>
      </c>
      <c r="P19" s="111" t="s">
        <v>388</v>
      </c>
      <c r="Q19" s="111"/>
      <c r="R19" s="109" t="s">
        <v>601</v>
      </c>
      <c r="S19" s="260">
        <f>'[1]Raz x1 '!AH33</f>
        <v>9423.9950674570828</v>
      </c>
      <c r="T19" s="111"/>
      <c r="U19" s="253">
        <v>17540</v>
      </c>
      <c r="V19" s="95"/>
      <c r="W19" s="95"/>
      <c r="X19" s="95">
        <f t="shared" si="0"/>
        <v>-8116.0049325429172</v>
      </c>
      <c r="Y19" s="95" t="s">
        <v>140</v>
      </c>
      <c r="Z19" s="114"/>
    </row>
    <row r="20" spans="2:26" x14ac:dyDescent="0.25">
      <c r="B20" s="117" t="s">
        <v>389</v>
      </c>
      <c r="C20" s="111" t="s">
        <v>390</v>
      </c>
      <c r="D20" s="111"/>
      <c r="E20" s="103" t="s">
        <v>599</v>
      </c>
      <c r="F20" s="253">
        <f>-'[1]Raz x1 '!BG22</f>
        <v>-4115</v>
      </c>
      <c r="G20" s="111"/>
      <c r="H20" s="253"/>
      <c r="I20" s="95"/>
      <c r="J20" s="95"/>
      <c r="K20" s="95"/>
      <c r="L20" s="95">
        <f t="shared" si="1"/>
        <v>-4115</v>
      </c>
      <c r="M20" s="95" t="s">
        <v>606</v>
      </c>
      <c r="N20" s="95"/>
      <c r="O20" s="121" t="s">
        <v>224</v>
      </c>
      <c r="P20" s="109" t="s">
        <v>225</v>
      </c>
      <c r="Q20" s="103">
        <v>12</v>
      </c>
      <c r="R20" s="103"/>
      <c r="S20" s="260"/>
      <c r="T20" s="111"/>
      <c r="U20" s="253"/>
      <c r="V20" s="95"/>
      <c r="W20" s="95"/>
      <c r="X20" s="95"/>
      <c r="Y20" s="95"/>
      <c r="Z20" s="114"/>
    </row>
    <row r="21" spans="2:26" x14ac:dyDescent="0.25">
      <c r="B21" s="108" t="s">
        <v>391</v>
      </c>
      <c r="C21" s="109" t="s">
        <v>392</v>
      </c>
      <c r="D21" s="103">
        <v>6</v>
      </c>
      <c r="E21" s="103"/>
      <c r="F21" s="253"/>
      <c r="G21" s="111"/>
      <c r="H21" s="253"/>
      <c r="I21" s="95"/>
      <c r="J21" s="95"/>
      <c r="K21" s="95"/>
      <c r="L21" s="95"/>
      <c r="M21" s="95"/>
      <c r="N21" s="95"/>
      <c r="O21" s="122" t="s">
        <v>228</v>
      </c>
      <c r="P21" s="109" t="s">
        <v>393</v>
      </c>
      <c r="Q21" s="111"/>
      <c r="R21" s="111"/>
      <c r="S21" s="260"/>
      <c r="T21" s="111"/>
      <c r="U21" s="253"/>
      <c r="V21" s="95"/>
      <c r="W21" s="95"/>
      <c r="X21" s="95"/>
      <c r="Y21" s="95"/>
      <c r="Z21" s="120"/>
    </row>
    <row r="22" spans="2:26" x14ac:dyDescent="0.25">
      <c r="B22" s="115" t="s">
        <v>394</v>
      </c>
      <c r="C22" s="109" t="s">
        <v>395</v>
      </c>
      <c r="D22" s="111"/>
      <c r="E22" s="111"/>
      <c r="F22" s="253"/>
      <c r="G22" s="111"/>
      <c r="H22" s="253"/>
      <c r="I22" s="95"/>
      <c r="J22" s="95"/>
      <c r="K22" s="95"/>
      <c r="L22" s="95"/>
      <c r="M22" s="95"/>
      <c r="N22" s="95"/>
      <c r="O22" s="118" t="s">
        <v>148</v>
      </c>
      <c r="P22" s="111" t="s">
        <v>396</v>
      </c>
      <c r="Q22" s="111"/>
      <c r="R22" s="103" t="s">
        <v>599</v>
      </c>
      <c r="S22" s="260">
        <f>'[1]Raz x1 '!AR33</f>
        <v>6262.5035270182634</v>
      </c>
      <c r="T22" s="111"/>
      <c r="U22" s="253">
        <v>11656</v>
      </c>
      <c r="V22" s="95"/>
      <c r="W22" s="95"/>
      <c r="X22" s="95">
        <f t="shared" si="0"/>
        <v>-5393.4964729817366</v>
      </c>
      <c r="Y22" s="95" t="s">
        <v>140</v>
      </c>
      <c r="Z22" s="114"/>
    </row>
    <row r="23" spans="2:26" x14ac:dyDescent="0.25">
      <c r="B23" s="117" t="s">
        <v>397</v>
      </c>
      <c r="C23" s="111" t="s">
        <v>398</v>
      </c>
      <c r="D23" s="111"/>
      <c r="E23" s="103" t="s">
        <v>600</v>
      </c>
      <c r="F23" s="253">
        <f>'[1]Raz x1 '!CO22</f>
        <v>8500</v>
      </c>
      <c r="G23" s="111"/>
      <c r="H23" s="253"/>
      <c r="I23" s="95"/>
      <c r="J23" s="95"/>
      <c r="K23" s="95"/>
      <c r="L23" s="95">
        <f>F23-H23</f>
        <v>8500</v>
      </c>
      <c r="M23" s="95" t="s">
        <v>140</v>
      </c>
      <c r="N23" s="95"/>
      <c r="O23" s="118" t="s">
        <v>235</v>
      </c>
      <c r="P23" s="111" t="s">
        <v>399</v>
      </c>
      <c r="Q23" s="111"/>
      <c r="R23" s="103" t="s">
        <v>599</v>
      </c>
      <c r="S23" s="260">
        <f>'[1]Raz x1 '!AM33</f>
        <v>2254.5032697265751</v>
      </c>
      <c r="T23" s="111"/>
      <c r="U23" s="253">
        <v>4196</v>
      </c>
      <c r="V23" s="95"/>
      <c r="W23" s="95"/>
      <c r="X23" s="95">
        <f t="shared" si="0"/>
        <v>-1941.4967302734249</v>
      </c>
      <c r="Y23" s="95" t="s">
        <v>140</v>
      </c>
      <c r="Z23" s="114"/>
    </row>
    <row r="24" spans="2:26" x14ac:dyDescent="0.25">
      <c r="B24" s="108" t="s">
        <v>218</v>
      </c>
      <c r="C24" s="109" t="s">
        <v>219</v>
      </c>
      <c r="D24" s="103">
        <v>7</v>
      </c>
      <c r="E24" s="103"/>
      <c r="F24" s="253"/>
      <c r="G24" s="111"/>
      <c r="H24" s="253"/>
      <c r="I24" s="95"/>
      <c r="J24" s="95"/>
      <c r="K24" s="95"/>
      <c r="L24" s="95"/>
      <c r="M24" s="95"/>
      <c r="N24" s="95"/>
      <c r="O24" s="122" t="s">
        <v>239</v>
      </c>
      <c r="P24" s="109" t="s">
        <v>229</v>
      </c>
      <c r="Q24" s="111"/>
      <c r="R24" s="111"/>
      <c r="S24" s="260"/>
      <c r="T24" s="111"/>
      <c r="U24" s="253"/>
      <c r="V24" s="95"/>
      <c r="W24" s="95"/>
      <c r="X24" s="95"/>
      <c r="Y24" s="95"/>
      <c r="Z24" s="114"/>
    </row>
    <row r="25" spans="2:26" x14ac:dyDescent="0.25">
      <c r="B25" s="124" t="s">
        <v>222</v>
      </c>
      <c r="C25" s="109" t="s">
        <v>223</v>
      </c>
      <c r="D25" s="111"/>
      <c r="E25" s="111"/>
      <c r="F25" s="253"/>
      <c r="G25" s="111"/>
      <c r="H25" s="253"/>
      <c r="I25" s="95"/>
      <c r="J25" s="95"/>
      <c r="K25" s="95"/>
      <c r="L25" s="95"/>
      <c r="M25" s="95"/>
      <c r="N25" s="95"/>
      <c r="O25" s="118" t="s">
        <v>147</v>
      </c>
      <c r="P25" s="111" t="s">
        <v>232</v>
      </c>
      <c r="Q25" s="111"/>
      <c r="R25" s="103" t="s">
        <v>599</v>
      </c>
      <c r="S25" s="260">
        <f>'[1]Raz x1 '!S33</f>
        <v>18029</v>
      </c>
      <c r="T25" s="111"/>
      <c r="U25" s="253">
        <v>16490</v>
      </c>
      <c r="V25" s="95"/>
      <c r="W25" s="95"/>
      <c r="X25" s="95">
        <f t="shared" si="0"/>
        <v>1539</v>
      </c>
      <c r="Y25" s="95" t="s">
        <v>606</v>
      </c>
      <c r="Z25" s="114"/>
    </row>
    <row r="26" spans="2:26" x14ac:dyDescent="0.25">
      <c r="B26" s="117" t="s">
        <v>226</v>
      </c>
      <c r="C26" s="111" t="s">
        <v>227</v>
      </c>
      <c r="D26" s="111"/>
      <c r="E26" s="103" t="s">
        <v>599</v>
      </c>
      <c r="F26" s="253">
        <f>'[1]Raz x1 '!H22</f>
        <v>2629.75</v>
      </c>
      <c r="G26" s="111"/>
      <c r="H26" s="253">
        <v>519</v>
      </c>
      <c r="I26" s="95"/>
      <c r="J26" s="95"/>
      <c r="K26" s="95"/>
      <c r="L26" s="95">
        <f t="shared" si="1"/>
        <v>2110.75</v>
      </c>
      <c r="M26" s="95" t="s">
        <v>140</v>
      </c>
      <c r="N26" s="95"/>
      <c r="O26" s="122"/>
      <c r="P26" s="109"/>
      <c r="Q26" s="111"/>
      <c r="R26" s="111"/>
      <c r="S26" s="260"/>
      <c r="T26" s="111"/>
      <c r="U26" s="253"/>
      <c r="V26" s="95"/>
      <c r="W26" s="95"/>
      <c r="X26" s="95"/>
      <c r="Y26" s="95"/>
      <c r="Z26" s="114"/>
    </row>
    <row r="27" spans="2:26" x14ac:dyDescent="0.25">
      <c r="B27" s="124" t="s">
        <v>400</v>
      </c>
      <c r="C27" s="109" t="s">
        <v>401</v>
      </c>
      <c r="D27" s="111"/>
      <c r="E27" s="111"/>
      <c r="F27" s="253"/>
      <c r="G27" s="111"/>
      <c r="H27" s="253"/>
      <c r="I27" s="95"/>
      <c r="J27" s="95"/>
      <c r="K27" s="95"/>
      <c r="L27" s="95"/>
      <c r="M27" s="95"/>
      <c r="N27" s="95"/>
      <c r="O27" s="122"/>
      <c r="P27" s="109"/>
      <c r="Q27" s="111"/>
      <c r="R27" s="111"/>
      <c r="S27" s="260"/>
      <c r="T27" s="111"/>
      <c r="U27" s="253"/>
      <c r="V27" s="95"/>
      <c r="W27" s="95"/>
      <c r="X27" s="95"/>
      <c r="Y27" s="95"/>
      <c r="Z27" s="114"/>
    </row>
    <row r="28" spans="2:26" x14ac:dyDescent="0.25">
      <c r="B28" s="117" t="s">
        <v>313</v>
      </c>
      <c r="C28" s="111" t="s">
        <v>402</v>
      </c>
      <c r="D28" s="111"/>
      <c r="E28" s="103" t="s">
        <v>599</v>
      </c>
      <c r="F28" s="253">
        <f>'[1]Raz x1 '!BP22</f>
        <v>1210</v>
      </c>
      <c r="G28" s="111"/>
      <c r="H28" s="253"/>
      <c r="I28" s="95"/>
      <c r="J28" s="95"/>
      <c r="K28" s="95"/>
      <c r="L28" s="95">
        <f t="shared" si="1"/>
        <v>1210</v>
      </c>
      <c r="M28" s="95" t="s">
        <v>140</v>
      </c>
      <c r="N28" s="95"/>
      <c r="O28" s="122"/>
      <c r="P28" s="109"/>
      <c r="Q28" s="111"/>
      <c r="R28" s="111"/>
      <c r="S28" s="260"/>
      <c r="T28" s="111"/>
      <c r="U28" s="253"/>
      <c r="V28" s="95"/>
      <c r="W28" s="95"/>
      <c r="X28" s="95"/>
      <c r="Y28" s="95"/>
      <c r="Z28" s="114"/>
    </row>
    <row r="29" spans="2:26" x14ac:dyDescent="0.25">
      <c r="B29" s="117" t="s">
        <v>403</v>
      </c>
      <c r="C29" s="111" t="s">
        <v>404</v>
      </c>
      <c r="D29" s="111"/>
      <c r="E29" s="103" t="s">
        <v>599</v>
      </c>
      <c r="F29" s="253">
        <f>'[1]Raz x1 '!BK22</f>
        <v>120</v>
      </c>
      <c r="G29" s="111"/>
      <c r="H29" s="253"/>
      <c r="I29" s="95"/>
      <c r="J29" s="95"/>
      <c r="K29" s="95"/>
      <c r="L29" s="95">
        <f t="shared" si="1"/>
        <v>120</v>
      </c>
      <c r="M29" s="95" t="s">
        <v>140</v>
      </c>
      <c r="N29" s="95"/>
      <c r="O29" s="122"/>
      <c r="P29" s="109"/>
      <c r="Q29" s="111"/>
      <c r="R29" s="111"/>
      <c r="S29" s="260"/>
      <c r="T29" s="111"/>
      <c r="U29" s="253"/>
      <c r="V29" s="95"/>
      <c r="W29" s="95"/>
      <c r="X29" s="95"/>
      <c r="Y29" s="95"/>
      <c r="Z29" s="114"/>
    </row>
    <row r="30" spans="2:26" x14ac:dyDescent="0.25">
      <c r="B30" s="108" t="s">
        <v>230</v>
      </c>
      <c r="C30" s="109" t="s">
        <v>231</v>
      </c>
      <c r="D30" s="103">
        <v>6</v>
      </c>
      <c r="E30" s="103"/>
      <c r="F30" s="253"/>
      <c r="G30" s="111"/>
      <c r="H30" s="253"/>
      <c r="I30" s="95"/>
      <c r="J30" s="95"/>
      <c r="K30" s="95"/>
      <c r="L30" s="95"/>
      <c r="M30" s="95"/>
      <c r="N30" s="95"/>
      <c r="O30" s="118"/>
      <c r="P30" s="111"/>
      <c r="Q30" s="111"/>
      <c r="R30" s="111"/>
      <c r="S30" s="260"/>
      <c r="T30" s="111"/>
      <c r="U30" s="253"/>
      <c r="V30" s="95"/>
      <c r="W30" s="95"/>
      <c r="X30" s="95"/>
      <c r="Y30" s="95"/>
      <c r="Z30" s="114"/>
    </row>
    <row r="31" spans="2:26" x14ac:dyDescent="0.25">
      <c r="B31" s="115" t="s">
        <v>233</v>
      </c>
      <c r="C31" s="109" t="s">
        <v>234</v>
      </c>
      <c r="D31" s="111"/>
      <c r="E31" s="111"/>
      <c r="F31" s="253"/>
      <c r="G31" s="111"/>
      <c r="H31" s="253"/>
      <c r="I31" s="95"/>
      <c r="J31" s="95"/>
      <c r="K31" s="95"/>
      <c r="L31" s="95"/>
      <c r="M31" s="95"/>
      <c r="N31" s="95"/>
      <c r="O31" s="118"/>
      <c r="P31" s="111"/>
      <c r="Q31" s="111"/>
      <c r="R31" s="111"/>
      <c r="S31" s="260"/>
      <c r="T31" s="111"/>
      <c r="U31" s="253"/>
      <c r="V31" s="95"/>
      <c r="W31" s="95"/>
      <c r="X31" s="95"/>
      <c r="Y31" s="95"/>
      <c r="Z31" s="114"/>
    </row>
    <row r="32" spans="2:26" x14ac:dyDescent="0.25">
      <c r="B32" s="117" t="s">
        <v>237</v>
      </c>
      <c r="C32" s="111" t="s">
        <v>238</v>
      </c>
      <c r="D32" s="111"/>
      <c r="E32" s="103" t="s">
        <v>599</v>
      </c>
      <c r="F32" s="253">
        <f>'[1]Raz x1 '!AV22</f>
        <v>600</v>
      </c>
      <c r="G32" s="111"/>
      <c r="H32" s="253">
        <v>1200</v>
      </c>
      <c r="I32" s="95"/>
      <c r="J32" s="95"/>
      <c r="K32" s="95"/>
      <c r="L32" s="95">
        <f t="shared" si="1"/>
        <v>-600</v>
      </c>
      <c r="M32" s="95" t="s">
        <v>606</v>
      </c>
      <c r="N32" s="95"/>
      <c r="O32" s="122"/>
      <c r="P32" s="109"/>
      <c r="Q32" s="111"/>
      <c r="R32" s="111"/>
      <c r="S32" s="260"/>
      <c r="T32" s="111"/>
      <c r="U32" s="253"/>
      <c r="V32" s="95"/>
      <c r="W32" s="95"/>
      <c r="X32" s="95"/>
      <c r="Y32" s="95"/>
      <c r="Z32" s="114"/>
    </row>
    <row r="33" spans="2:32" x14ac:dyDescent="0.25">
      <c r="B33" s="108" t="s">
        <v>405</v>
      </c>
      <c r="C33" s="109" t="s">
        <v>406</v>
      </c>
      <c r="D33" s="103">
        <v>8</v>
      </c>
      <c r="E33" s="103"/>
      <c r="F33" s="253"/>
      <c r="G33" s="111"/>
      <c r="H33" s="253"/>
      <c r="I33" s="95"/>
      <c r="J33" s="95"/>
      <c r="K33" s="95"/>
      <c r="L33" s="95"/>
      <c r="M33" s="95"/>
      <c r="N33" s="95"/>
      <c r="O33" s="118"/>
      <c r="P33" s="111"/>
      <c r="Q33" s="111"/>
      <c r="R33" s="111"/>
      <c r="S33" s="260"/>
      <c r="T33" s="111"/>
      <c r="U33" s="253"/>
      <c r="V33" s="95"/>
      <c r="W33" s="95"/>
      <c r="X33" s="95"/>
      <c r="Y33" s="95"/>
      <c r="Z33" s="114"/>
    </row>
    <row r="34" spans="2:32" x14ac:dyDescent="0.25">
      <c r="B34" s="115" t="s">
        <v>405</v>
      </c>
      <c r="C34" s="109" t="s">
        <v>407</v>
      </c>
      <c r="D34" s="111"/>
      <c r="E34" s="111"/>
      <c r="F34" s="253"/>
      <c r="G34" s="111"/>
      <c r="H34" s="253"/>
      <c r="I34" s="95"/>
      <c r="J34" s="95"/>
      <c r="K34" s="95"/>
      <c r="L34" s="95"/>
      <c r="M34" s="95"/>
      <c r="N34" s="95"/>
      <c r="O34" s="118"/>
      <c r="P34" s="111"/>
      <c r="Q34" s="111"/>
      <c r="R34" s="111"/>
      <c r="S34" s="260"/>
      <c r="T34" s="111"/>
      <c r="U34" s="253"/>
      <c r="V34" s="95"/>
      <c r="W34" s="95"/>
      <c r="X34" s="95"/>
      <c r="Y34" s="95"/>
      <c r="Z34" s="114"/>
    </row>
    <row r="35" spans="2:32" x14ac:dyDescent="0.25">
      <c r="B35" s="117" t="s">
        <v>405</v>
      </c>
      <c r="C35" s="111" t="s">
        <v>408</v>
      </c>
      <c r="D35" s="111"/>
      <c r="E35" s="103" t="s">
        <v>600</v>
      </c>
      <c r="F35" s="253">
        <f>'[1]Raz x1 '!AL22</f>
        <v>30833</v>
      </c>
      <c r="G35" s="111"/>
      <c r="H35" s="253"/>
      <c r="I35" s="95"/>
      <c r="J35" s="95"/>
      <c r="K35" s="95"/>
      <c r="L35" s="95">
        <f t="shared" si="1"/>
        <v>30833</v>
      </c>
      <c r="M35" s="95" t="s">
        <v>140</v>
      </c>
      <c r="N35" s="95"/>
      <c r="O35" s="118"/>
      <c r="P35" s="111"/>
      <c r="Q35" s="111"/>
      <c r="R35" s="111"/>
      <c r="S35" s="260"/>
      <c r="T35" s="111"/>
      <c r="U35" s="253"/>
      <c r="V35" s="95"/>
      <c r="W35" s="95"/>
      <c r="X35" s="95"/>
      <c r="Y35" s="95"/>
      <c r="Z35" s="114"/>
    </row>
    <row r="36" spans="2:32" x14ac:dyDescent="0.25">
      <c r="B36" s="117"/>
      <c r="C36" s="111"/>
      <c r="D36" s="111"/>
      <c r="E36" s="111"/>
      <c r="F36" s="253"/>
      <c r="G36" s="111"/>
      <c r="H36" s="253"/>
      <c r="I36" s="95"/>
      <c r="J36" s="95"/>
      <c r="K36" s="95"/>
      <c r="L36" s="95"/>
      <c r="M36" s="95"/>
      <c r="N36" s="95"/>
      <c r="O36" s="125"/>
      <c r="P36" s="111"/>
      <c r="Q36" s="111"/>
      <c r="R36" s="111"/>
      <c r="S36" s="260"/>
      <c r="T36" s="111"/>
      <c r="U36" s="253"/>
      <c r="V36" s="95"/>
      <c r="W36" s="95"/>
      <c r="X36" s="95"/>
      <c r="Y36" s="95"/>
      <c r="Z36" s="114"/>
    </row>
    <row r="37" spans="2:32" x14ac:dyDescent="0.25">
      <c r="B37" s="126" t="s">
        <v>242</v>
      </c>
      <c r="C37" s="127"/>
      <c r="D37" s="127"/>
      <c r="E37" s="127"/>
      <c r="F37" s="263">
        <f>SUM(F10:F35)</f>
        <v>415021.23</v>
      </c>
      <c r="G37" s="127"/>
      <c r="H37" s="263">
        <f>SUM(H10:H32)</f>
        <v>405644</v>
      </c>
      <c r="I37" s="129"/>
      <c r="J37" s="130"/>
      <c r="K37" s="131"/>
      <c r="L37" s="263">
        <f>F37-H37</f>
        <v>9377.2299999999814</v>
      </c>
      <c r="M37" s="263"/>
      <c r="N37" s="131"/>
      <c r="O37" s="126" t="s">
        <v>242</v>
      </c>
      <c r="P37" s="127"/>
      <c r="Q37" s="127"/>
      <c r="R37" s="127"/>
      <c r="S37" s="264">
        <f>SUM(S7:S25)</f>
        <v>39646.00186420192</v>
      </c>
      <c r="T37" s="127"/>
      <c r="U37" s="263">
        <f>SUM(U10:U25)</f>
        <v>81744</v>
      </c>
      <c r="V37" s="129"/>
      <c r="W37" s="130"/>
      <c r="X37" s="263">
        <f>S37-U37</f>
        <v>-42097.99813579808</v>
      </c>
      <c r="Y37" s="263"/>
      <c r="Z37" s="132"/>
    </row>
    <row r="38" spans="2:32" x14ac:dyDescent="0.25">
      <c r="B38" s="133"/>
      <c r="C38" s="111"/>
      <c r="D38" s="111"/>
      <c r="E38" s="111"/>
      <c r="F38" s="253"/>
      <c r="G38" s="111"/>
      <c r="H38" s="253"/>
      <c r="I38" s="95"/>
      <c r="J38" s="134"/>
      <c r="K38" s="135"/>
      <c r="L38" s="135"/>
      <c r="M38" s="135"/>
      <c r="N38" s="135"/>
      <c r="O38" s="108"/>
      <c r="P38" s="111"/>
      <c r="Q38" s="111"/>
      <c r="R38" s="111"/>
      <c r="S38" s="260"/>
      <c r="T38" s="111"/>
      <c r="U38" s="257"/>
      <c r="V38" s="95"/>
      <c r="W38" s="95"/>
      <c r="X38" s="95"/>
      <c r="Y38" s="95"/>
      <c r="Z38" s="114"/>
    </row>
    <row r="39" spans="2:32" x14ac:dyDescent="0.25">
      <c r="B39" s="141" t="s">
        <v>244</v>
      </c>
      <c r="C39" s="109" t="s">
        <v>245</v>
      </c>
      <c r="F39" s="253"/>
      <c r="G39" s="111"/>
      <c r="H39" s="253"/>
      <c r="I39" s="95"/>
      <c r="J39" s="95"/>
      <c r="K39" s="95"/>
      <c r="L39" s="95"/>
      <c r="M39" s="95"/>
      <c r="N39" s="95"/>
      <c r="O39" s="105" t="s">
        <v>248</v>
      </c>
      <c r="P39" s="109" t="s">
        <v>249</v>
      </c>
      <c r="Q39" s="103">
        <v>13</v>
      </c>
      <c r="R39" s="103"/>
      <c r="S39" s="260"/>
      <c r="T39" s="111"/>
      <c r="U39" s="253"/>
      <c r="V39" s="95"/>
      <c r="W39" s="95"/>
      <c r="X39" s="95"/>
      <c r="Y39" s="95"/>
      <c r="Z39" s="114"/>
    </row>
    <row r="40" spans="2:32" x14ac:dyDescent="0.25">
      <c r="B40" s="108" t="s">
        <v>370</v>
      </c>
      <c r="C40" s="109" t="s">
        <v>409</v>
      </c>
      <c r="D40" s="103">
        <v>5</v>
      </c>
      <c r="E40" s="103"/>
      <c r="F40" s="253"/>
      <c r="G40" s="111"/>
      <c r="H40" s="253"/>
      <c r="I40" s="95"/>
      <c r="J40" s="95"/>
      <c r="K40" s="95"/>
      <c r="L40" s="95"/>
      <c r="M40" s="95"/>
      <c r="N40" s="95"/>
      <c r="O40" s="108" t="s">
        <v>251</v>
      </c>
      <c r="P40" s="143" t="s">
        <v>252</v>
      </c>
      <c r="Q40" s="144"/>
      <c r="R40" s="144"/>
      <c r="S40" s="265"/>
      <c r="T40" s="144"/>
      <c r="U40" s="253"/>
      <c r="V40" s="95"/>
      <c r="W40" s="112"/>
      <c r="X40" s="112"/>
      <c r="Y40" s="112"/>
      <c r="Z40" s="145"/>
    </row>
    <row r="41" spans="2:32" x14ac:dyDescent="0.25">
      <c r="B41" s="115" t="s">
        <v>370</v>
      </c>
      <c r="C41" s="109" t="s">
        <v>410</v>
      </c>
      <c r="D41" s="111"/>
      <c r="E41" s="111"/>
      <c r="F41" s="253"/>
      <c r="G41" s="111"/>
      <c r="H41" s="253"/>
      <c r="I41" s="95"/>
      <c r="J41" s="95"/>
      <c r="K41" s="95"/>
      <c r="L41" s="95"/>
      <c r="M41" s="95"/>
      <c r="N41" s="95"/>
      <c r="O41" s="122" t="s">
        <v>149</v>
      </c>
      <c r="P41" s="146" t="s">
        <v>254</v>
      </c>
      <c r="Q41" s="147"/>
      <c r="R41" s="147"/>
      <c r="S41" s="266"/>
      <c r="T41" s="147"/>
      <c r="U41" s="261"/>
      <c r="V41" s="112"/>
      <c r="W41" s="112"/>
      <c r="X41" s="112"/>
      <c r="Y41" s="112"/>
      <c r="Z41" s="145"/>
    </row>
    <row r="42" spans="2:32" x14ac:dyDescent="0.25">
      <c r="B42" s="117" t="s">
        <v>411</v>
      </c>
      <c r="C42" s="111" t="s">
        <v>412</v>
      </c>
      <c r="D42" s="111"/>
      <c r="E42" s="103" t="s">
        <v>600</v>
      </c>
      <c r="F42" s="253">
        <f>'[1]Raz x1 '!CJ22</f>
        <v>8500</v>
      </c>
      <c r="G42" s="111"/>
      <c r="H42" s="253"/>
      <c r="I42" s="95"/>
      <c r="J42" s="95"/>
      <c r="K42" s="95"/>
      <c r="L42" s="95">
        <f>F42-H42</f>
        <v>8500</v>
      </c>
      <c r="M42" s="95"/>
      <c r="N42" s="95"/>
      <c r="O42" s="117" t="s">
        <v>149</v>
      </c>
      <c r="P42" s="147" t="s">
        <v>257</v>
      </c>
      <c r="Q42" s="147"/>
      <c r="R42" s="109" t="s">
        <v>601</v>
      </c>
      <c r="S42" s="266">
        <f>'[2]Raz x1 '!D44</f>
        <v>500000</v>
      </c>
      <c r="T42" s="147"/>
      <c r="U42" s="261">
        <v>500000</v>
      </c>
      <c r="V42" s="112"/>
      <c r="W42" s="147"/>
      <c r="X42" s="147">
        <f>S42-U42</f>
        <v>0</v>
      </c>
      <c r="Y42" s="147"/>
      <c r="Z42" s="149"/>
    </row>
    <row r="43" spans="2:32" x14ac:dyDescent="0.25">
      <c r="B43" s="115" t="s">
        <v>233</v>
      </c>
      <c r="C43" s="109" t="s">
        <v>413</v>
      </c>
      <c r="D43" s="111"/>
      <c r="E43" s="111"/>
      <c r="F43" s="253"/>
      <c r="G43" s="111"/>
      <c r="H43" s="253"/>
      <c r="I43" s="95"/>
      <c r="J43" s="95"/>
      <c r="K43" s="95"/>
      <c r="L43" s="95"/>
      <c r="M43" s="95"/>
      <c r="N43" s="95"/>
      <c r="O43" s="108" t="s">
        <v>259</v>
      </c>
      <c r="P43" s="102" t="s">
        <v>260</v>
      </c>
      <c r="Q43" s="103"/>
      <c r="R43" s="103"/>
      <c r="S43" s="256"/>
      <c r="T43" s="102"/>
      <c r="U43" s="267"/>
      <c r="V43" s="151"/>
      <c r="W43" s="147"/>
      <c r="X43" s="147"/>
      <c r="Y43" s="147"/>
      <c r="Z43" s="149"/>
      <c r="AE43" s="142"/>
      <c r="AF43" s="142"/>
    </row>
    <row r="44" spans="2:32" x14ac:dyDescent="0.25">
      <c r="B44" s="117" t="s">
        <v>237</v>
      </c>
      <c r="C44" s="111" t="s">
        <v>247</v>
      </c>
      <c r="D44" s="111"/>
      <c r="E44" s="103" t="s">
        <v>599</v>
      </c>
      <c r="F44" s="253"/>
      <c r="G44" s="111"/>
      <c r="H44" s="253">
        <v>600</v>
      </c>
      <c r="I44" s="95"/>
      <c r="J44" s="95"/>
      <c r="K44" s="95"/>
      <c r="L44" s="95">
        <f t="shared" ref="L44:L56" si="2">F44-H44</f>
        <v>-600</v>
      </c>
      <c r="M44" s="95" t="s">
        <v>606</v>
      </c>
      <c r="N44" s="95"/>
      <c r="O44" s="115" t="s">
        <v>262</v>
      </c>
      <c r="P44" s="143" t="s">
        <v>263</v>
      </c>
      <c r="Q44" s="144"/>
      <c r="R44" s="144"/>
      <c r="S44" s="265"/>
      <c r="T44" s="144"/>
      <c r="U44" s="268"/>
      <c r="V44" s="153"/>
      <c r="W44" s="153"/>
      <c r="X44" s="147"/>
      <c r="Y44" s="147"/>
      <c r="Z44" s="154"/>
      <c r="AE44" s="142"/>
      <c r="AF44" s="142"/>
    </row>
    <row r="45" spans="2:32" x14ac:dyDescent="0.25">
      <c r="B45" s="141"/>
      <c r="C45" s="109"/>
      <c r="D45" s="111"/>
      <c r="E45" s="111"/>
      <c r="F45" s="253"/>
      <c r="G45" s="111"/>
      <c r="H45" s="253"/>
      <c r="I45" s="95"/>
      <c r="J45" s="134"/>
      <c r="K45" s="135"/>
      <c r="L45" s="95"/>
      <c r="M45" s="95"/>
      <c r="N45" s="135"/>
      <c r="O45" s="118" t="s">
        <v>265</v>
      </c>
      <c r="P45" s="144" t="s">
        <v>266</v>
      </c>
      <c r="Q45" s="144"/>
      <c r="R45" s="109" t="s">
        <v>601</v>
      </c>
      <c r="S45" s="265">
        <f>'[1]Raz x1 '!I43</f>
        <v>2365.6188655664109</v>
      </c>
      <c r="T45" s="144"/>
      <c r="U45" s="253">
        <v>1539</v>
      </c>
      <c r="V45" s="95"/>
      <c r="W45" s="153"/>
      <c r="X45" s="147">
        <f t="shared" ref="X45:X52" si="3">S45-U45</f>
        <v>826.61886556641093</v>
      </c>
      <c r="Y45" s="95" t="s">
        <v>606</v>
      </c>
      <c r="Z45" s="154"/>
      <c r="AE45" s="142"/>
      <c r="AF45" s="142"/>
    </row>
    <row r="46" spans="2:32" x14ac:dyDescent="0.25">
      <c r="B46" s="108" t="s">
        <v>130</v>
      </c>
      <c r="C46" s="109" t="s">
        <v>250</v>
      </c>
      <c r="D46" s="103">
        <v>9</v>
      </c>
      <c r="E46" s="103"/>
      <c r="F46" s="253"/>
      <c r="G46" s="111"/>
      <c r="H46" s="253"/>
      <c r="I46" s="95"/>
      <c r="J46" s="95"/>
      <c r="K46" s="95"/>
      <c r="L46" s="95"/>
      <c r="M46" s="95"/>
      <c r="N46" s="95"/>
      <c r="O46" s="118" t="s">
        <v>414</v>
      </c>
      <c r="P46" s="144" t="s">
        <v>270</v>
      </c>
      <c r="Q46" s="144"/>
      <c r="R46" s="109" t="s">
        <v>601</v>
      </c>
      <c r="S46" s="265">
        <f>'[1]Raz x1 '!AH43</f>
        <v>1571</v>
      </c>
      <c r="T46" s="144"/>
      <c r="U46" s="253"/>
      <c r="V46" s="95"/>
      <c r="W46" s="112"/>
      <c r="X46" s="147">
        <f t="shared" si="3"/>
        <v>1571</v>
      </c>
      <c r="Y46" s="95" t="s">
        <v>606</v>
      </c>
      <c r="Z46" s="145"/>
      <c r="AE46" s="142"/>
      <c r="AF46" s="142"/>
    </row>
    <row r="47" spans="2:32" x14ac:dyDescent="0.25">
      <c r="B47" s="115" t="s">
        <v>130</v>
      </c>
      <c r="C47" s="109" t="s">
        <v>253</v>
      </c>
      <c r="D47" s="111"/>
      <c r="E47" s="111"/>
      <c r="F47" s="253"/>
      <c r="G47" s="111"/>
      <c r="H47" s="253"/>
      <c r="I47" s="112"/>
      <c r="J47" s="112"/>
      <c r="K47" s="112"/>
      <c r="L47" s="95"/>
      <c r="M47" s="95"/>
      <c r="N47" s="112"/>
      <c r="O47" s="117" t="s">
        <v>269</v>
      </c>
      <c r="P47" s="144" t="s">
        <v>415</v>
      </c>
      <c r="Q47" s="144"/>
      <c r="R47" s="109" t="s">
        <v>601</v>
      </c>
      <c r="S47" s="265">
        <f>'[1]Raz x1 '!X43</f>
        <v>16405.503378304722</v>
      </c>
      <c r="T47" s="144"/>
      <c r="U47" s="253">
        <v>11694</v>
      </c>
      <c r="V47" s="95"/>
      <c r="W47" s="153"/>
      <c r="X47" s="147">
        <f t="shared" si="3"/>
        <v>4711.503378304722</v>
      </c>
      <c r="Y47" s="95" t="s">
        <v>606</v>
      </c>
      <c r="Z47" s="154"/>
      <c r="AE47" s="142"/>
      <c r="AF47" s="142"/>
    </row>
    <row r="48" spans="2:32" x14ac:dyDescent="0.25">
      <c r="B48" s="117" t="s">
        <v>255</v>
      </c>
      <c r="C48" s="111" t="s">
        <v>256</v>
      </c>
      <c r="D48" s="148"/>
      <c r="E48" s="103" t="s">
        <v>600</v>
      </c>
      <c r="F48" s="253">
        <f>'[2]Raz x1 '!AB22</f>
        <v>80000</v>
      </c>
      <c r="G48" s="148"/>
      <c r="H48" s="253">
        <v>80000</v>
      </c>
      <c r="I48" s="112"/>
      <c r="J48" s="96"/>
      <c r="K48" s="96"/>
      <c r="L48" s="95">
        <f t="shared" si="2"/>
        <v>0</v>
      </c>
      <c r="M48" s="95"/>
      <c r="N48" s="96"/>
      <c r="O48" s="115" t="s">
        <v>273</v>
      </c>
      <c r="P48" s="146" t="s">
        <v>274</v>
      </c>
      <c r="Q48" s="147"/>
      <c r="R48" s="147"/>
      <c r="S48" s="266"/>
      <c r="T48" s="147"/>
      <c r="U48" s="266"/>
      <c r="V48" s="147"/>
      <c r="W48" s="156"/>
      <c r="X48" s="147"/>
      <c r="Y48" s="147"/>
      <c r="Z48" s="157"/>
      <c r="AE48" s="142"/>
      <c r="AF48" s="142"/>
    </row>
    <row r="49" spans="2:32" x14ac:dyDescent="0.25">
      <c r="B49" s="118" t="s">
        <v>144</v>
      </c>
      <c r="C49" s="150" t="s">
        <v>258</v>
      </c>
      <c r="D49" s="147"/>
      <c r="E49" s="103" t="s">
        <v>600</v>
      </c>
      <c r="F49" s="269">
        <f>'[2]Raz x1 '!R22</f>
        <v>120000</v>
      </c>
      <c r="G49" s="147"/>
      <c r="H49" s="261">
        <v>120000</v>
      </c>
      <c r="I49" s="95"/>
      <c r="J49" s="96"/>
      <c r="K49" s="96"/>
      <c r="L49" s="95">
        <f t="shared" si="2"/>
        <v>0</v>
      </c>
      <c r="M49" s="95"/>
      <c r="N49" s="96"/>
      <c r="O49" s="117" t="s">
        <v>277</v>
      </c>
      <c r="P49" s="147" t="s">
        <v>278</v>
      </c>
      <c r="Q49" s="147"/>
      <c r="R49" s="109" t="s">
        <v>601</v>
      </c>
      <c r="S49" s="266">
        <f>U49</f>
        <v>50000</v>
      </c>
      <c r="T49" s="147"/>
      <c r="U49" s="266">
        <v>50000</v>
      </c>
      <c r="V49" s="147"/>
      <c r="W49" s="96"/>
      <c r="X49" s="147">
        <f t="shared" si="3"/>
        <v>0</v>
      </c>
      <c r="Y49" s="147"/>
      <c r="Z49" s="159"/>
      <c r="AE49" s="142"/>
      <c r="AF49" s="142"/>
    </row>
    <row r="50" spans="2:32" x14ac:dyDescent="0.25">
      <c r="B50" s="152" t="s">
        <v>145</v>
      </c>
      <c r="C50" s="150" t="s">
        <v>261</v>
      </c>
      <c r="D50" s="147"/>
      <c r="E50" s="103" t="s">
        <v>600</v>
      </c>
      <c r="F50" s="269"/>
      <c r="G50" s="147"/>
      <c r="H50" s="261">
        <v>50000</v>
      </c>
      <c r="I50" s="95"/>
      <c r="J50" s="96"/>
      <c r="K50" s="96"/>
      <c r="L50" s="95">
        <f t="shared" si="2"/>
        <v>-50000</v>
      </c>
      <c r="M50" s="95" t="s">
        <v>606</v>
      </c>
      <c r="N50" s="96"/>
      <c r="O50" s="108" t="s">
        <v>416</v>
      </c>
      <c r="P50" s="146" t="s">
        <v>417</v>
      </c>
      <c r="Q50" s="112"/>
      <c r="R50" s="112"/>
      <c r="S50" s="266"/>
      <c r="T50" s="147"/>
      <c r="U50" s="266"/>
      <c r="V50" s="147"/>
      <c r="W50" s="96"/>
      <c r="X50" s="147"/>
      <c r="Y50" s="147"/>
      <c r="Z50" s="159"/>
      <c r="AE50" s="142"/>
      <c r="AF50" s="142"/>
    </row>
    <row r="51" spans="2:32" x14ac:dyDescent="0.25">
      <c r="B51" s="117" t="s">
        <v>146</v>
      </c>
      <c r="C51" s="94" t="s">
        <v>264</v>
      </c>
      <c r="D51" s="102"/>
      <c r="E51" s="103" t="s">
        <v>600</v>
      </c>
      <c r="F51" s="253">
        <f>'[2]Raz x1 '!AQ22</f>
        <v>10000</v>
      </c>
      <c r="G51" s="102"/>
      <c r="H51" s="253">
        <v>10000</v>
      </c>
      <c r="I51" s="112"/>
      <c r="J51" s="153"/>
      <c r="K51" s="153"/>
      <c r="L51" s="95">
        <f t="shared" si="2"/>
        <v>0</v>
      </c>
      <c r="M51" s="95"/>
      <c r="N51" s="96"/>
      <c r="O51" s="115" t="s">
        <v>416</v>
      </c>
      <c r="P51" s="146" t="s">
        <v>418</v>
      </c>
      <c r="Q51" s="147"/>
      <c r="R51" s="147"/>
      <c r="S51" s="266"/>
      <c r="T51" s="147"/>
      <c r="U51" s="266"/>
      <c r="V51" s="147"/>
      <c r="W51" s="96"/>
      <c r="X51" s="147"/>
      <c r="Y51" s="147"/>
      <c r="Z51" s="159"/>
      <c r="AE51" s="142"/>
      <c r="AF51" s="142"/>
    </row>
    <row r="52" spans="2:32" x14ac:dyDescent="0.25">
      <c r="B52" s="115" t="s">
        <v>267</v>
      </c>
      <c r="C52" s="102" t="s">
        <v>268</v>
      </c>
      <c r="D52" s="148"/>
      <c r="E52" s="103"/>
      <c r="F52" s="253"/>
      <c r="G52" s="148"/>
      <c r="H52" s="253"/>
      <c r="I52" s="147"/>
      <c r="J52" s="95"/>
      <c r="K52" s="95"/>
      <c r="L52" s="95"/>
      <c r="M52" s="95"/>
      <c r="N52" s="96"/>
      <c r="O52" s="118" t="s">
        <v>416</v>
      </c>
      <c r="P52" s="147" t="s">
        <v>419</v>
      </c>
      <c r="Q52" s="147"/>
      <c r="R52" s="109" t="s">
        <v>601</v>
      </c>
      <c r="S52" s="266">
        <f>'[2]Raz x1 '!AC44</f>
        <v>1000</v>
      </c>
      <c r="T52" s="147"/>
      <c r="U52" s="261"/>
      <c r="V52" s="112"/>
      <c r="W52" s="112"/>
      <c r="X52" s="147">
        <f t="shared" si="3"/>
        <v>1000</v>
      </c>
      <c r="Y52" s="95" t="s">
        <v>606</v>
      </c>
      <c r="Z52" s="145"/>
    </row>
    <row r="53" spans="2:32" x14ac:dyDescent="0.25">
      <c r="B53" s="118" t="s">
        <v>271</v>
      </c>
      <c r="C53" s="94" t="s">
        <v>272</v>
      </c>
      <c r="D53" s="119"/>
      <c r="E53" s="103" t="s">
        <v>600</v>
      </c>
      <c r="F53" s="270">
        <f>-'[2]Raz x1 '!CV22</f>
        <v>-3200</v>
      </c>
      <c r="G53" s="119"/>
      <c r="H53" s="261">
        <v>-1600</v>
      </c>
      <c r="I53" s="95"/>
      <c r="J53" s="95"/>
      <c r="K53" s="95"/>
      <c r="L53" s="95">
        <f t="shared" si="2"/>
        <v>-1600</v>
      </c>
      <c r="M53" s="95" t="s">
        <v>606</v>
      </c>
      <c r="N53" s="155"/>
      <c r="O53" s="115"/>
      <c r="P53" s="146"/>
      <c r="Q53" s="147"/>
      <c r="R53" s="147"/>
      <c r="S53" s="271"/>
      <c r="T53" s="147"/>
      <c r="U53" s="266"/>
      <c r="V53" s="147"/>
      <c r="W53" s="156"/>
      <c r="X53" s="147"/>
      <c r="Y53" s="147"/>
      <c r="Z53" s="157"/>
    </row>
    <row r="54" spans="2:32" x14ac:dyDescent="0.25">
      <c r="B54" s="118" t="s">
        <v>275</v>
      </c>
      <c r="C54" s="158" t="s">
        <v>276</v>
      </c>
      <c r="D54" s="119"/>
      <c r="E54" s="103" t="s">
        <v>600</v>
      </c>
      <c r="F54" s="270">
        <f>-'[2]Raz x1 '!DA22</f>
        <v>-17334</v>
      </c>
      <c r="G54" s="119"/>
      <c r="H54" s="261">
        <v>-8667</v>
      </c>
      <c r="I54" s="95"/>
      <c r="J54" s="95"/>
      <c r="K54" s="95"/>
      <c r="L54" s="95">
        <f t="shared" si="2"/>
        <v>-8667</v>
      </c>
      <c r="M54" s="95" t="s">
        <v>606</v>
      </c>
      <c r="N54" s="155"/>
      <c r="O54" s="117"/>
      <c r="P54" s="147"/>
      <c r="Q54" s="147"/>
      <c r="R54" s="147"/>
      <c r="S54" s="271"/>
      <c r="T54" s="147"/>
      <c r="U54" s="266"/>
      <c r="V54" s="147"/>
      <c r="W54" s="96"/>
      <c r="X54" s="96"/>
      <c r="Y54" s="96"/>
      <c r="Z54" s="159"/>
    </row>
    <row r="55" spans="2:32" x14ac:dyDescent="0.25">
      <c r="B55" s="118" t="s">
        <v>279</v>
      </c>
      <c r="C55" s="94" t="s">
        <v>280</v>
      </c>
      <c r="D55" s="119"/>
      <c r="E55" s="103" t="s">
        <v>600</v>
      </c>
      <c r="F55" s="270"/>
      <c r="G55" s="119"/>
      <c r="H55" s="253">
        <v>-10000</v>
      </c>
      <c r="I55" s="153"/>
      <c r="J55" s="95"/>
      <c r="K55" s="95"/>
      <c r="L55" s="95">
        <f t="shared" si="2"/>
        <v>10000</v>
      </c>
      <c r="M55" s="95" t="s">
        <v>140</v>
      </c>
      <c r="N55" s="155"/>
      <c r="O55" s="117"/>
      <c r="P55" s="147"/>
      <c r="Q55" s="147"/>
      <c r="R55" s="147"/>
      <c r="S55" s="271"/>
      <c r="T55" s="147"/>
      <c r="U55" s="266"/>
      <c r="V55" s="147"/>
      <c r="W55" s="96"/>
      <c r="X55" s="96"/>
      <c r="Y55" s="96"/>
      <c r="Z55" s="159"/>
    </row>
    <row r="56" spans="2:32" x14ac:dyDescent="0.25">
      <c r="B56" s="118" t="s">
        <v>281</v>
      </c>
      <c r="C56" s="160" t="s">
        <v>282</v>
      </c>
      <c r="D56" s="119"/>
      <c r="E56" s="103" t="s">
        <v>600</v>
      </c>
      <c r="F56" s="270">
        <f>-'[2]Raz x1 '!AH22</f>
        <v>-2000</v>
      </c>
      <c r="G56" s="119"/>
      <c r="H56" s="253">
        <v>-1000</v>
      </c>
      <c r="I56" s="161"/>
      <c r="J56" s="161"/>
      <c r="K56" s="161"/>
      <c r="L56" s="95">
        <f t="shared" si="2"/>
        <v>-1000</v>
      </c>
      <c r="M56" s="95" t="s">
        <v>606</v>
      </c>
      <c r="N56" s="155"/>
      <c r="O56" s="117"/>
      <c r="P56" s="147"/>
      <c r="Q56" s="147"/>
      <c r="R56" s="147"/>
      <c r="S56" s="271"/>
      <c r="T56" s="147"/>
      <c r="U56" s="266"/>
      <c r="V56" s="147"/>
      <c r="W56" s="96"/>
      <c r="X56" s="96"/>
      <c r="Y56" s="96"/>
      <c r="Z56" s="159"/>
    </row>
    <row r="57" spans="2:32" ht="15.75" thickBot="1" x14ac:dyDescent="0.3">
      <c r="B57" s="125"/>
      <c r="C57" s="144"/>
      <c r="D57" s="144"/>
      <c r="E57" s="144"/>
      <c r="F57" s="272">
        <v>1</v>
      </c>
      <c r="G57" s="144"/>
      <c r="H57" s="268"/>
      <c r="I57" s="162"/>
      <c r="J57" s="162"/>
      <c r="K57" s="162"/>
      <c r="L57" s="147"/>
      <c r="M57" s="147"/>
      <c r="N57" s="95"/>
      <c r="O57" s="163"/>
      <c r="P57" s="147"/>
      <c r="Q57" s="147"/>
      <c r="R57" s="147"/>
      <c r="S57" s="271"/>
      <c r="T57" s="147"/>
      <c r="U57" s="261"/>
      <c r="V57" s="112"/>
      <c r="W57" s="112"/>
      <c r="X57" s="112"/>
      <c r="Y57" s="112"/>
      <c r="Z57" s="145"/>
    </row>
    <row r="58" spans="2:32" ht="17.25" thickTop="1" thickBot="1" x14ac:dyDescent="0.3">
      <c r="B58" s="164"/>
      <c r="C58" s="161"/>
      <c r="D58" s="161"/>
      <c r="E58" s="161"/>
      <c r="F58" s="273"/>
      <c r="G58" s="161"/>
      <c r="H58" s="274"/>
      <c r="I58" s="166"/>
      <c r="J58" s="166"/>
      <c r="K58" s="166"/>
      <c r="L58" s="372"/>
      <c r="M58" s="372"/>
      <c r="N58" s="161"/>
      <c r="O58" s="167"/>
      <c r="P58" s="137"/>
      <c r="Q58" s="137"/>
      <c r="R58" s="137"/>
      <c r="S58" s="275"/>
      <c r="T58" s="137"/>
      <c r="U58" s="276"/>
      <c r="V58" s="168"/>
      <c r="W58" s="168"/>
      <c r="X58" s="168"/>
      <c r="Y58" s="168"/>
      <c r="Z58" s="169"/>
    </row>
    <row r="59" spans="2:32" ht="15.75" thickBot="1" x14ac:dyDescent="0.3">
      <c r="B59" s="170" t="s">
        <v>283</v>
      </c>
      <c r="C59" s="171"/>
      <c r="D59" s="171"/>
      <c r="E59" s="171"/>
      <c r="F59" s="277">
        <f>SUM(F42:F57)</f>
        <v>195967</v>
      </c>
      <c r="G59" s="171"/>
      <c r="H59" s="277">
        <f>SUM(H44:H56)</f>
        <v>239333</v>
      </c>
      <c r="L59" s="277">
        <f>F59-H59</f>
        <v>-43366</v>
      </c>
      <c r="M59" s="277"/>
      <c r="N59" s="162"/>
      <c r="O59" s="173" t="s">
        <v>284</v>
      </c>
      <c r="P59" s="174"/>
      <c r="Q59" s="174"/>
      <c r="R59" s="174"/>
      <c r="S59" s="277">
        <f>SUM(S42:S54)</f>
        <v>571342.1222438711</v>
      </c>
      <c r="T59" s="174"/>
      <c r="U59" s="277">
        <f>SUM(U42:U52)</f>
        <v>563233</v>
      </c>
      <c r="V59" s="175"/>
      <c r="W59" s="175"/>
      <c r="X59" s="277">
        <f>S59-U59</f>
        <v>8109.1222438710975</v>
      </c>
      <c r="Y59" s="277"/>
      <c r="Z59" s="176"/>
    </row>
    <row r="60" spans="2:32" ht="17.25" thickTop="1" thickBot="1" x14ac:dyDescent="0.3">
      <c r="B60" s="438" t="s">
        <v>285</v>
      </c>
      <c r="C60" s="439"/>
      <c r="D60" s="177"/>
      <c r="E60" s="177"/>
      <c r="F60" s="278">
        <f>F59+F37</f>
        <v>610988.23</v>
      </c>
      <c r="G60" s="177"/>
      <c r="H60" s="278">
        <f>H59+H37</f>
        <v>644977</v>
      </c>
      <c r="L60" s="278">
        <f>F60-H60</f>
        <v>-33988.770000000019</v>
      </c>
      <c r="M60" s="278"/>
      <c r="N60" s="166"/>
      <c r="O60" s="438" t="s">
        <v>286</v>
      </c>
      <c r="P60" s="439"/>
      <c r="Q60" s="177"/>
      <c r="R60" s="177"/>
      <c r="S60" s="278">
        <f>SUM(S59,S37)</f>
        <v>610988.12410807307</v>
      </c>
      <c r="T60" s="177"/>
      <c r="U60" s="278">
        <f>SUM(U59,U37)</f>
        <v>644977</v>
      </c>
      <c r="V60" s="178"/>
      <c r="W60" s="178"/>
      <c r="X60" s="278">
        <f>S60-U60</f>
        <v>-33988.875891926931</v>
      </c>
      <c r="Y60" s="278"/>
      <c r="Z60" s="179"/>
    </row>
    <row r="63" spans="2:32" x14ac:dyDescent="0.25">
      <c r="B63" s="180"/>
      <c r="O63" s="180"/>
    </row>
    <row r="64" spans="2:32" x14ac:dyDescent="0.25">
      <c r="B64" s="180"/>
      <c r="O64" s="180"/>
    </row>
  </sheetData>
  <mergeCells count="5">
    <mergeCell ref="B1:V1"/>
    <mergeCell ref="B2:V2"/>
    <mergeCell ref="B3:V3"/>
    <mergeCell ref="B60:C60"/>
    <mergeCell ref="O60:P6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topLeftCell="A14" zoomScale="180" zoomScaleNormal="180" workbookViewId="0">
      <selection activeCell="F22" sqref="F22"/>
    </sheetView>
  </sheetViews>
  <sheetFormatPr defaultColWidth="9.140625" defaultRowHeight="15" x14ac:dyDescent="0.25"/>
  <cols>
    <col min="1" max="1" width="34.7109375" style="15" bestFit="1" customWidth="1"/>
    <col min="2" max="2" width="13.5703125" style="15" customWidth="1"/>
    <col min="3" max="3" width="9.140625" style="15" customWidth="1"/>
    <col min="4" max="4" width="9.140625" style="15"/>
    <col min="5" max="5" width="2.140625" style="15" customWidth="1"/>
    <col min="6" max="6" width="17.42578125" style="15" customWidth="1"/>
    <col min="7" max="7" width="9.140625" style="15"/>
    <col min="8" max="8" width="11.140625" style="15" bestFit="1" customWidth="1"/>
    <col min="9" max="16384" width="9.140625" style="15"/>
  </cols>
  <sheetData>
    <row r="2" spans="1:7" x14ac:dyDescent="0.25">
      <c r="B2" s="49" t="s">
        <v>151</v>
      </c>
      <c r="C2" s="49"/>
      <c r="D2" s="49"/>
    </row>
    <row r="4" spans="1:7" x14ac:dyDescent="0.25">
      <c r="A4" s="15" t="s">
        <v>152</v>
      </c>
      <c r="F4" s="50">
        <f>Lançamentos!B27+Lançamentos!B91</f>
        <v>98126.758458644501</v>
      </c>
    </row>
    <row r="5" spans="1:7" x14ac:dyDescent="0.25">
      <c r="A5" s="15" t="s">
        <v>153</v>
      </c>
      <c r="F5" s="50"/>
    </row>
    <row r="6" spans="1:7" x14ac:dyDescent="0.25">
      <c r="A6" s="51" t="s">
        <v>154</v>
      </c>
      <c r="E6" s="52" t="s">
        <v>155</v>
      </c>
      <c r="F6" s="53">
        <f>Lançamentos!B94+Lançamentos!B30</f>
        <v>20187.500000000004</v>
      </c>
      <c r="G6" s="26" t="s">
        <v>156</v>
      </c>
    </row>
    <row r="7" spans="1:7" x14ac:dyDescent="0.25">
      <c r="A7" s="15" t="s">
        <v>157</v>
      </c>
      <c r="F7" s="50">
        <f>F4-F6</f>
        <v>77939.258458644501</v>
      </c>
    </row>
    <row r="11" spans="1:7" x14ac:dyDescent="0.25">
      <c r="B11" s="479" t="s">
        <v>158</v>
      </c>
      <c r="C11" s="479"/>
      <c r="D11" s="479"/>
      <c r="E11" s="479"/>
      <c r="F11" s="479"/>
    </row>
    <row r="12" spans="1:7" x14ac:dyDescent="0.25">
      <c r="B12" s="479" t="s">
        <v>159</v>
      </c>
      <c r="C12" s="479"/>
      <c r="D12" s="479"/>
      <c r="E12" s="479"/>
      <c r="F12" s="479"/>
    </row>
    <row r="13" spans="1:7" x14ac:dyDescent="0.25">
      <c r="B13" s="479" t="s">
        <v>160</v>
      </c>
      <c r="C13" s="479"/>
      <c r="D13" s="479"/>
      <c r="E13" s="479"/>
      <c r="F13" s="479"/>
    </row>
    <row r="14" spans="1:7" x14ac:dyDescent="0.25">
      <c r="B14" s="479" t="s">
        <v>161</v>
      </c>
      <c r="C14" s="479"/>
      <c r="D14" s="479"/>
      <c r="E14" s="479"/>
      <c r="F14" s="479"/>
    </row>
    <row r="15" spans="1:7" x14ac:dyDescent="0.25">
      <c r="F15" s="54"/>
    </row>
    <row r="16" spans="1:7" x14ac:dyDescent="0.25">
      <c r="C16" s="349" t="s">
        <v>515</v>
      </c>
      <c r="F16" s="54"/>
    </row>
    <row r="17" spans="1:8" x14ac:dyDescent="0.25">
      <c r="A17" s="15" t="s">
        <v>162</v>
      </c>
      <c r="C17" s="349">
        <v>14</v>
      </c>
      <c r="F17" s="50">
        <f>F7</f>
        <v>77939.258458644501</v>
      </c>
    </row>
    <row r="18" spans="1:8" x14ac:dyDescent="0.25">
      <c r="A18" s="15" t="s">
        <v>163</v>
      </c>
      <c r="E18" s="52" t="s">
        <v>155</v>
      </c>
      <c r="F18" s="53">
        <f>Lançamentos!B34+Lançamentos!B98</f>
        <v>6671.2345065757854</v>
      </c>
      <c r="G18" s="26" t="s">
        <v>156</v>
      </c>
    </row>
    <row r="19" spans="1:8" x14ac:dyDescent="0.25">
      <c r="A19" s="55" t="s">
        <v>164</v>
      </c>
      <c r="B19" s="55"/>
      <c r="C19" s="55"/>
      <c r="D19" s="55"/>
      <c r="E19" s="55"/>
      <c r="F19" s="56">
        <f>F17-F18</f>
        <v>71268.023952068717</v>
      </c>
      <c r="G19" s="57"/>
    </row>
    <row r="20" spans="1:8" x14ac:dyDescent="0.25">
      <c r="F20" s="50"/>
    </row>
    <row r="21" spans="1:8" x14ac:dyDescent="0.25">
      <c r="A21" s="16" t="s">
        <v>165</v>
      </c>
      <c r="F21" s="50"/>
    </row>
    <row r="22" spans="1:8" x14ac:dyDescent="0.25">
      <c r="A22" s="51" t="s">
        <v>360</v>
      </c>
      <c r="C22" s="349">
        <v>15</v>
      </c>
      <c r="E22" s="58" t="s">
        <v>155</v>
      </c>
      <c r="F22" s="59">
        <f>Lançamentos!B65+Lançamentos!B68</f>
        <v>300</v>
      </c>
      <c r="G22" s="31" t="s">
        <v>156</v>
      </c>
    </row>
    <row r="23" spans="1:8" x14ac:dyDescent="0.25">
      <c r="A23" s="51"/>
      <c r="E23" s="60"/>
      <c r="F23" s="61"/>
    </row>
    <row r="24" spans="1:8" x14ac:dyDescent="0.25">
      <c r="A24" s="16" t="s">
        <v>168</v>
      </c>
      <c r="F24" s="50"/>
    </row>
    <row r="25" spans="1:8" x14ac:dyDescent="0.25">
      <c r="A25" s="51" t="s">
        <v>169</v>
      </c>
      <c r="E25" s="60" t="s">
        <v>155</v>
      </c>
      <c r="F25" s="61">
        <f>Lançamentos!B116</f>
        <v>1200</v>
      </c>
      <c r="G25" s="15" t="s">
        <v>156</v>
      </c>
    </row>
    <row r="26" spans="1:8" x14ac:dyDescent="0.25">
      <c r="A26" s="51" t="s">
        <v>170</v>
      </c>
      <c r="E26" s="60" t="s">
        <v>155</v>
      </c>
      <c r="F26" s="61">
        <f>Lançamentos!B102</f>
        <v>300</v>
      </c>
      <c r="G26" s="15" t="s">
        <v>156</v>
      </c>
    </row>
    <row r="27" spans="1:8" x14ac:dyDescent="0.25">
      <c r="A27" s="51" t="s">
        <v>171</v>
      </c>
      <c r="E27" s="60" t="s">
        <v>155</v>
      </c>
      <c r="F27" s="61">
        <f>Lançamentos!B187+Lançamentos!B211</f>
        <v>20433.333333333336</v>
      </c>
      <c r="G27" s="15" t="s">
        <v>156</v>
      </c>
    </row>
    <row r="28" spans="1:8" x14ac:dyDescent="0.25">
      <c r="A28" s="51" t="s">
        <v>361</v>
      </c>
      <c r="E28" s="58" t="s">
        <v>155</v>
      </c>
      <c r="F28" s="59">
        <f>Lançamentos!B57+Lançamentos!B60</f>
        <v>6870</v>
      </c>
      <c r="G28" s="31" t="s">
        <v>156</v>
      </c>
    </row>
    <row r="29" spans="1:8" x14ac:dyDescent="0.25">
      <c r="A29" s="51" t="s">
        <v>172</v>
      </c>
      <c r="E29" s="58" t="s">
        <v>155</v>
      </c>
      <c r="F29" s="59">
        <v>10000</v>
      </c>
      <c r="G29" s="31" t="s">
        <v>156</v>
      </c>
    </row>
    <row r="30" spans="1:8" x14ac:dyDescent="0.25">
      <c r="A30" s="51" t="s">
        <v>173</v>
      </c>
      <c r="E30" s="58" t="s">
        <v>155</v>
      </c>
      <c r="F30" s="59">
        <v>8000</v>
      </c>
      <c r="G30" s="31" t="s">
        <v>156</v>
      </c>
    </row>
    <row r="31" spans="1:8" x14ac:dyDescent="0.25">
      <c r="A31" s="51" t="s">
        <v>174</v>
      </c>
      <c r="E31" s="58" t="s">
        <v>155</v>
      </c>
      <c r="F31" s="59">
        <v>15000</v>
      </c>
      <c r="G31" s="31" t="s">
        <v>156</v>
      </c>
      <c r="H31" s="54"/>
    </row>
    <row r="32" spans="1:8" x14ac:dyDescent="0.25">
      <c r="A32" s="51"/>
      <c r="E32" s="58"/>
      <c r="F32" s="59"/>
      <c r="G32" s="31"/>
    </row>
    <row r="33" spans="1:8" s="16" customFormat="1" x14ac:dyDescent="0.25">
      <c r="A33" s="55" t="s">
        <v>175</v>
      </c>
      <c r="B33" s="55"/>
      <c r="C33" s="55"/>
      <c r="D33" s="55"/>
      <c r="E33" s="62"/>
      <c r="F33" s="63">
        <f>F19-F22-F25-F26-F27-F28-F29-F30-F31</f>
        <v>9164.6906187353816</v>
      </c>
      <c r="G33" s="62"/>
      <c r="H33" s="240"/>
    </row>
    <row r="34" spans="1:8" s="64" customFormat="1" x14ac:dyDescent="0.25">
      <c r="E34" s="65"/>
      <c r="F34" s="66"/>
      <c r="G34" s="65"/>
    </row>
    <row r="35" spans="1:8" s="16" customFormat="1" x14ac:dyDescent="0.25">
      <c r="A35" s="67" t="s">
        <v>176</v>
      </c>
      <c r="C35" s="349">
        <v>16</v>
      </c>
      <c r="E35" s="68"/>
      <c r="F35" s="239">
        <f>Lançamentos!B38+Lançamentos!B107+Lançamentos!B134+Lançamentos!B140+Lançamentos!B157+Lançamentos!B165</f>
        <v>19808.582251344771</v>
      </c>
      <c r="G35" s="68"/>
      <c r="H35" s="67">
        <v>3300</v>
      </c>
    </row>
    <row r="36" spans="1:8" s="67" customFormat="1" x14ac:dyDescent="0.25">
      <c r="A36" s="67" t="s">
        <v>177</v>
      </c>
      <c r="C36" s="349">
        <v>16</v>
      </c>
      <c r="E36" s="70" t="s">
        <v>155</v>
      </c>
      <c r="F36" s="71">
        <f>Lançamentos!B12+Lançamentos!B80+Lançamentos!B136+Lançamentos!B147+Lançamentos!B150+Lançamentos!B161+Lançamentos!B203</f>
        <v>3921.9774334011954</v>
      </c>
      <c r="G36" s="72" t="s">
        <v>156</v>
      </c>
      <c r="H36" s="67">
        <v>1600</v>
      </c>
    </row>
    <row r="37" spans="1:8" s="16" customFormat="1" x14ac:dyDescent="0.25">
      <c r="E37" s="73"/>
      <c r="F37" s="74"/>
      <c r="G37" s="68"/>
    </row>
    <row r="38" spans="1:8" s="16" customFormat="1" x14ac:dyDescent="0.25">
      <c r="A38" s="55" t="s">
        <v>178</v>
      </c>
      <c r="B38" s="55"/>
      <c r="C38" s="55"/>
      <c r="D38" s="55"/>
      <c r="E38" s="62"/>
      <c r="F38" s="63">
        <f>F35-F36</f>
        <v>15886.604817943575</v>
      </c>
      <c r="G38" s="62"/>
    </row>
    <row r="39" spans="1:8" s="16" customFormat="1" x14ac:dyDescent="0.25">
      <c r="E39" s="73"/>
      <c r="F39" s="74"/>
      <c r="G39" s="68"/>
    </row>
    <row r="40" spans="1:8" s="16" customFormat="1" x14ac:dyDescent="0.25">
      <c r="A40" s="55" t="s">
        <v>179</v>
      </c>
      <c r="B40" s="55"/>
      <c r="C40" s="55"/>
      <c r="D40" s="55"/>
      <c r="E40" s="62"/>
      <c r="F40" s="63">
        <f>F33+F38</f>
        <v>25051.295436678956</v>
      </c>
      <c r="G40" s="62"/>
    </row>
    <row r="41" spans="1:8" s="64" customFormat="1" x14ac:dyDescent="0.25">
      <c r="E41" s="65"/>
      <c r="F41" s="66"/>
      <c r="G41" s="65"/>
    </row>
    <row r="42" spans="1:8" x14ac:dyDescent="0.25">
      <c r="A42" s="15" t="s">
        <v>180</v>
      </c>
      <c r="C42" s="349">
        <v>17</v>
      </c>
      <c r="E42" s="75" t="s">
        <v>155</v>
      </c>
      <c r="F42" s="50">
        <f>F40*25%</f>
        <v>6262.8238591697391</v>
      </c>
      <c r="G42" s="15" t="s">
        <v>156</v>
      </c>
    </row>
    <row r="43" spans="1:8" x14ac:dyDescent="0.25">
      <c r="A43" s="15" t="s">
        <v>181</v>
      </c>
      <c r="C43" s="349">
        <v>17</v>
      </c>
      <c r="E43" s="52" t="s">
        <v>155</v>
      </c>
      <c r="F43" s="76">
        <f>F40*9%</f>
        <v>2254.6165893011062</v>
      </c>
      <c r="G43" s="26" t="s">
        <v>156</v>
      </c>
    </row>
    <row r="44" spans="1:8" x14ac:dyDescent="0.25">
      <c r="E44" s="58"/>
      <c r="F44" s="77"/>
      <c r="G44" s="31"/>
    </row>
    <row r="45" spans="1:8" x14ac:dyDescent="0.25">
      <c r="A45" s="55" t="s">
        <v>110</v>
      </c>
      <c r="B45" s="55"/>
      <c r="C45" s="55"/>
      <c r="D45" s="55"/>
      <c r="E45" s="62"/>
      <c r="F45" s="63">
        <f>F40-F42-F43</f>
        <v>16533.854988208113</v>
      </c>
      <c r="G45" s="62"/>
    </row>
  </sheetData>
  <mergeCells count="4">
    <mergeCell ref="B11:F11"/>
    <mergeCell ref="B12:F12"/>
    <mergeCell ref="B13:F13"/>
    <mergeCell ref="B14:F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topLeftCell="F1" zoomScale="120" zoomScaleNormal="120" workbookViewId="0">
      <selection activeCell="I15" sqref="I15"/>
    </sheetView>
  </sheetViews>
  <sheetFormatPr defaultColWidth="8.85546875" defaultRowHeight="15" x14ac:dyDescent="0.25"/>
  <cols>
    <col min="1" max="5" width="8.85546875" style="15"/>
    <col min="6" max="6" width="13.28515625" style="15" bestFit="1" customWidth="1"/>
    <col min="7" max="12" width="8.85546875" style="15"/>
    <col min="13" max="13" width="13.28515625" style="15" bestFit="1" customWidth="1"/>
    <col min="14" max="16384" width="8.85546875" style="15"/>
  </cols>
  <sheetData>
    <row r="2" spans="2:14" x14ac:dyDescent="0.25">
      <c r="B2" s="480" t="s">
        <v>182</v>
      </c>
      <c r="C2" s="480"/>
      <c r="D2" s="480"/>
      <c r="E2" s="480"/>
      <c r="I2" s="480" t="s">
        <v>183</v>
      </c>
      <c r="J2" s="480"/>
      <c r="K2" s="480"/>
      <c r="L2" s="480"/>
    </row>
    <row r="5" spans="2:14" x14ac:dyDescent="0.25">
      <c r="B5" s="15" t="s">
        <v>184</v>
      </c>
      <c r="F5" s="61">
        <f>'DRE 2013'!F45</f>
        <v>16533.854988208113</v>
      </c>
      <c r="I5" s="15" t="s">
        <v>185</v>
      </c>
      <c r="M5" s="61">
        <f>'DRE 2013'!F45</f>
        <v>16533.854988208113</v>
      </c>
    </row>
    <row r="6" spans="2:14" x14ac:dyDescent="0.25">
      <c r="B6" s="15" t="s">
        <v>186</v>
      </c>
      <c r="E6" s="52" t="s">
        <v>155</v>
      </c>
      <c r="F6" s="76">
        <f>F5*5%</f>
        <v>826.69274941040567</v>
      </c>
      <c r="G6" s="26" t="s">
        <v>156</v>
      </c>
      <c r="I6" s="15" t="s">
        <v>111</v>
      </c>
      <c r="L6" s="60" t="s">
        <v>155</v>
      </c>
      <c r="M6" s="50">
        <f>F6</f>
        <v>826.69274941040567</v>
      </c>
      <c r="N6" s="15" t="s">
        <v>156</v>
      </c>
    </row>
    <row r="7" spans="2:14" x14ac:dyDescent="0.25">
      <c r="B7" s="15" t="s">
        <v>352</v>
      </c>
      <c r="F7" s="50">
        <f>F5-F6</f>
        <v>15707.162238797708</v>
      </c>
      <c r="L7" s="26"/>
      <c r="M7" s="53"/>
      <c r="N7" s="26"/>
    </row>
    <row r="8" spans="2:14" x14ac:dyDescent="0.25">
      <c r="B8" s="15" t="s">
        <v>353</v>
      </c>
      <c r="E8" s="52" t="s">
        <v>155</v>
      </c>
      <c r="F8" s="76">
        <f>F7*10%</f>
        <v>1570.716223879771</v>
      </c>
      <c r="G8" s="26" t="s">
        <v>156</v>
      </c>
      <c r="I8" s="15" t="s">
        <v>187</v>
      </c>
      <c r="M8" s="50">
        <f>M5-M6</f>
        <v>15707.162238797708</v>
      </c>
    </row>
    <row r="9" spans="2:14" x14ac:dyDescent="0.25">
      <c r="F9" s="50"/>
      <c r="I9" s="15" t="s">
        <v>188</v>
      </c>
      <c r="L9" s="60"/>
      <c r="M9" s="50">
        <f>M8*60%</f>
        <v>9424.2973432786239</v>
      </c>
    </row>
    <row r="13" spans="2:14" x14ac:dyDescent="0.25">
      <c r="K13" s="78"/>
    </row>
  </sheetData>
  <mergeCells count="2">
    <mergeCell ref="B2:E2"/>
    <mergeCell ref="I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showGridLines="0" zoomScale="130" zoomScaleNormal="130" workbookViewId="0">
      <selection activeCell="C9" sqref="C9"/>
    </sheetView>
  </sheetViews>
  <sheetFormatPr defaultRowHeight="15" x14ac:dyDescent="0.25"/>
  <cols>
    <col min="4" max="4" width="9.140625" style="15"/>
    <col min="6" max="6" width="12.140625" customWidth="1"/>
  </cols>
  <sheetData>
    <row r="2" spans="1:6" s="15" customFormat="1" x14ac:dyDescent="0.25">
      <c r="B2" s="479" t="s">
        <v>158</v>
      </c>
      <c r="C2" s="479"/>
      <c r="D2" s="479"/>
      <c r="E2" s="479"/>
      <c r="F2" s="479"/>
    </row>
    <row r="3" spans="1:6" s="15" customFormat="1" x14ac:dyDescent="0.25">
      <c r="B3" s="479" t="s">
        <v>529</v>
      </c>
      <c r="C3" s="479"/>
      <c r="D3" s="479"/>
      <c r="E3" s="479"/>
      <c r="F3" s="479"/>
    </row>
    <row r="4" spans="1:6" s="15" customFormat="1" x14ac:dyDescent="0.25">
      <c r="B4" s="479" t="s">
        <v>160</v>
      </c>
      <c r="C4" s="479"/>
      <c r="D4" s="479"/>
      <c r="E4" s="479"/>
      <c r="F4" s="479"/>
    </row>
    <row r="5" spans="1:6" s="15" customFormat="1" x14ac:dyDescent="0.25">
      <c r="B5" s="479" t="s">
        <v>161</v>
      </c>
      <c r="C5" s="479"/>
      <c r="D5" s="479"/>
      <c r="E5" s="479"/>
      <c r="F5" s="479"/>
    </row>
    <row r="7" spans="1:6" x14ac:dyDescent="0.25">
      <c r="A7" s="367" t="s">
        <v>110</v>
      </c>
      <c r="B7" s="367"/>
      <c r="C7" s="367"/>
      <c r="D7" s="367"/>
      <c r="E7" s="367"/>
      <c r="F7" s="368">
        <f>'DRE 2013'!F45</f>
        <v>16533.854988208113</v>
      </c>
    </row>
    <row r="8" spans="1:6" x14ac:dyDescent="0.25">
      <c r="A8" t="s">
        <v>530</v>
      </c>
    </row>
    <row r="9" spans="1:6" x14ac:dyDescent="0.25">
      <c r="A9" t="str">
        <f>'DMPL 2013'!A26</f>
        <v>Ativos financeiros disponíveis para venda</v>
      </c>
      <c r="F9" s="20">
        <v>1000</v>
      </c>
    </row>
    <row r="11" spans="1:6" x14ac:dyDescent="0.25">
      <c r="A11" s="367" t="s">
        <v>528</v>
      </c>
      <c r="B11" s="367"/>
      <c r="C11" s="367"/>
      <c r="D11" s="367"/>
      <c r="E11" s="367"/>
      <c r="F11" s="368">
        <f>F7+F9</f>
        <v>17533.854988208113</v>
      </c>
    </row>
  </sheetData>
  <mergeCells count="4">
    <mergeCell ref="B2:F2"/>
    <mergeCell ref="B3:F3"/>
    <mergeCell ref="B4:F4"/>
    <mergeCell ref="B5:F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opLeftCell="A16" zoomScaleNormal="100" workbookViewId="0">
      <selection activeCell="A25" sqref="A25"/>
    </sheetView>
  </sheetViews>
  <sheetFormatPr defaultColWidth="13.5703125" defaultRowHeight="15" x14ac:dyDescent="0.25"/>
  <cols>
    <col min="1" max="1" width="39.42578125" style="15" customWidth="1"/>
    <col min="2" max="6" width="13.5703125" style="15"/>
    <col min="7" max="7" width="12" style="15" customWidth="1"/>
    <col min="8" max="16384" width="13.5703125" style="15"/>
  </cols>
  <sheetData>
    <row r="1" spans="1:9" x14ac:dyDescent="0.25">
      <c r="A1" s="479" t="s">
        <v>287</v>
      </c>
      <c r="B1" s="479"/>
      <c r="C1" s="479"/>
      <c r="D1" s="479"/>
      <c r="E1" s="479"/>
      <c r="F1" s="479"/>
      <c r="G1" s="479"/>
      <c r="H1" s="479"/>
    </row>
    <row r="2" spans="1:9" x14ac:dyDescent="0.25">
      <c r="A2" s="479" t="s">
        <v>190</v>
      </c>
      <c r="B2" s="479"/>
      <c r="C2" s="479"/>
      <c r="D2" s="479"/>
      <c r="E2" s="479"/>
      <c r="F2" s="479"/>
      <c r="G2" s="479"/>
      <c r="H2" s="479"/>
    </row>
    <row r="3" spans="1:9" x14ac:dyDescent="0.25">
      <c r="A3" s="479" t="s">
        <v>161</v>
      </c>
      <c r="B3" s="479"/>
      <c r="C3" s="479"/>
      <c r="D3" s="479"/>
      <c r="E3" s="479"/>
      <c r="F3" s="479"/>
      <c r="G3" s="479"/>
      <c r="H3" s="479"/>
    </row>
    <row r="4" spans="1:9" ht="12.75" customHeight="1" x14ac:dyDescent="0.25">
      <c r="A4" s="181"/>
      <c r="B4" s="181"/>
      <c r="C4" s="181"/>
      <c r="D4" s="181"/>
      <c r="E4" s="181"/>
      <c r="F4" s="232"/>
      <c r="G4" s="181"/>
      <c r="H4" s="181"/>
    </row>
    <row r="5" spans="1:9" s="185" customFormat="1" ht="27" customHeight="1" x14ac:dyDescent="0.25">
      <c r="A5" s="182"/>
      <c r="B5" s="182"/>
      <c r="C5" s="183" t="s">
        <v>288</v>
      </c>
      <c r="D5" s="481" t="s">
        <v>289</v>
      </c>
      <c r="E5" s="481"/>
      <c r="F5" s="233"/>
      <c r="G5" s="184"/>
      <c r="H5" s="182"/>
    </row>
    <row r="6" spans="1:9" ht="45" customHeight="1" x14ac:dyDescent="0.25">
      <c r="A6" s="186" t="s">
        <v>290</v>
      </c>
      <c r="B6" s="186" t="str">
        <f>[5]BP!E25</f>
        <v>Capital Social Integralizado</v>
      </c>
      <c r="C6" s="186" t="s">
        <v>291</v>
      </c>
      <c r="D6" s="186" t="str">
        <f>[5]BP!E28</f>
        <v>Reserva Legal</v>
      </c>
      <c r="E6" s="186" t="s">
        <v>292</v>
      </c>
      <c r="F6" s="186" t="s">
        <v>359</v>
      </c>
      <c r="G6" s="186" t="str">
        <f>[5]Razonetes!F83</f>
        <v>Luc.ou Prej. Acum.</v>
      </c>
      <c r="H6" s="186" t="s">
        <v>54</v>
      </c>
    </row>
    <row r="7" spans="1:9" x14ac:dyDescent="0.25">
      <c r="A7" s="187" t="s">
        <v>293</v>
      </c>
      <c r="B7" s="188">
        <v>0</v>
      </c>
      <c r="C7" s="188">
        <v>0</v>
      </c>
      <c r="D7" s="189">
        <v>0</v>
      </c>
      <c r="E7" s="189">
        <v>0</v>
      </c>
      <c r="F7" s="189"/>
      <c r="G7" s="188">
        <v>0</v>
      </c>
      <c r="H7" s="189">
        <f>SUM(B7:G7)</f>
        <v>0</v>
      </c>
    </row>
    <row r="8" spans="1:9" x14ac:dyDescent="0.25">
      <c r="A8" s="190" t="s">
        <v>294</v>
      </c>
      <c r="B8" s="191">
        <f>'[6]Lanç x1'!E7</f>
        <v>500000</v>
      </c>
      <c r="C8" s="191">
        <f>'[6]Lanç x1'!E8</f>
        <v>50000</v>
      </c>
      <c r="D8" s="191"/>
      <c r="E8" s="191"/>
      <c r="F8" s="191"/>
      <c r="G8" s="191"/>
      <c r="H8" s="192">
        <f>SUM(B8:G8)</f>
        <v>550000</v>
      </c>
    </row>
    <row r="9" spans="1:9" x14ac:dyDescent="0.25">
      <c r="A9" s="193" t="s">
        <v>296</v>
      </c>
      <c r="B9" s="194"/>
      <c r="C9" s="194"/>
      <c r="D9" s="194"/>
      <c r="E9" s="194"/>
      <c r="F9" s="234"/>
      <c r="G9" s="191">
        <f>'[6]DRE x1'!E44</f>
        <v>30772.552799999998</v>
      </c>
      <c r="H9" s="192">
        <f t="shared" ref="H9:H14" si="0">SUM(B9:G9)</f>
        <v>30772.552799999998</v>
      </c>
    </row>
    <row r="10" spans="1:9" x14ac:dyDescent="0.25">
      <c r="A10" s="193" t="s">
        <v>297</v>
      </c>
      <c r="B10" s="194"/>
      <c r="C10" s="194"/>
      <c r="D10" s="194"/>
      <c r="E10" s="194"/>
      <c r="F10" s="194"/>
      <c r="G10" s="194"/>
      <c r="H10" s="192">
        <f t="shared" si="0"/>
        <v>0</v>
      </c>
    </row>
    <row r="11" spans="1:9" x14ac:dyDescent="0.25">
      <c r="A11" s="196" t="s">
        <v>150</v>
      </c>
      <c r="B11" s="194"/>
      <c r="C11" s="194"/>
      <c r="D11" s="197">
        <f>-G11</f>
        <v>1539</v>
      </c>
      <c r="E11" s="194"/>
      <c r="F11" s="194"/>
      <c r="G11" s="194">
        <f>'DMPL 2012'!F12</f>
        <v>-1539</v>
      </c>
      <c r="H11" s="192">
        <f t="shared" si="0"/>
        <v>0</v>
      </c>
    </row>
    <row r="12" spans="1:9" x14ac:dyDescent="0.25">
      <c r="A12" s="196" t="str">
        <f>[5]Razonetes!J74</f>
        <v>Reserva Ret. Lucros</v>
      </c>
      <c r="B12" s="194"/>
      <c r="C12" s="194"/>
      <c r="D12" s="194"/>
      <c r="E12" s="197">
        <v>11693.57</v>
      </c>
      <c r="F12" s="197"/>
      <c r="G12" s="194">
        <f>-11693.57</f>
        <v>-11693.57</v>
      </c>
      <c r="H12" s="192">
        <f t="shared" si="0"/>
        <v>0</v>
      </c>
    </row>
    <row r="13" spans="1:9" x14ac:dyDescent="0.25">
      <c r="A13" s="193" t="s">
        <v>299</v>
      </c>
      <c r="B13" s="194"/>
      <c r="C13" s="194"/>
      <c r="D13" s="194"/>
      <c r="E13" s="194"/>
      <c r="F13" s="194"/>
      <c r="G13" s="198">
        <f>'DMPL 2012'!F16</f>
        <v>-17540</v>
      </c>
      <c r="H13" s="192">
        <f t="shared" si="0"/>
        <v>-17540</v>
      </c>
      <c r="I13" s="15" t="s">
        <v>354</v>
      </c>
    </row>
    <row r="14" spans="1:9" x14ac:dyDescent="0.25">
      <c r="A14" s="199" t="s">
        <v>31</v>
      </c>
      <c r="B14" s="192">
        <f>SUM(B7:B13)</f>
        <v>500000</v>
      </c>
      <c r="C14" s="192">
        <f>SUM(C7:C13)</f>
        <v>50000</v>
      </c>
      <c r="D14" s="192">
        <f>SUM(D7:D13)</f>
        <v>1539</v>
      </c>
      <c r="E14" s="192">
        <f>SUM(E7:E13)</f>
        <v>11693.57</v>
      </c>
      <c r="F14" s="192"/>
      <c r="G14" s="192">
        <f>SUM(G7:G13)</f>
        <v>-1.720000000204891E-2</v>
      </c>
      <c r="H14" s="192">
        <f t="shared" si="0"/>
        <v>563232.55279999995</v>
      </c>
      <c r="I14" s="231">
        <f>SUM(H7:H13)</f>
        <v>563232.55279999995</v>
      </c>
    </row>
    <row r="17" spans="1:11" x14ac:dyDescent="0.25">
      <c r="A17" s="479" t="s">
        <v>287</v>
      </c>
      <c r="B17" s="479"/>
      <c r="C17" s="479"/>
      <c r="D17" s="479"/>
      <c r="E17" s="479"/>
      <c r="F17" s="479"/>
      <c r="G17" s="479"/>
      <c r="H17" s="479"/>
    </row>
    <row r="18" spans="1:11" x14ac:dyDescent="0.25">
      <c r="A18" s="479" t="s">
        <v>355</v>
      </c>
      <c r="B18" s="479"/>
      <c r="C18" s="479"/>
      <c r="D18" s="479"/>
      <c r="E18" s="479"/>
      <c r="F18" s="479"/>
      <c r="G18" s="479"/>
      <c r="H18" s="479"/>
    </row>
    <row r="19" spans="1:11" x14ac:dyDescent="0.25">
      <c r="A19" s="479" t="s">
        <v>161</v>
      </c>
      <c r="B19" s="479"/>
      <c r="C19" s="479"/>
      <c r="D19" s="479"/>
      <c r="E19" s="479"/>
      <c r="F19" s="479"/>
      <c r="G19" s="479"/>
      <c r="H19" s="479"/>
    </row>
    <row r="20" spans="1:11" ht="12.75" customHeight="1" x14ac:dyDescent="0.25">
      <c r="A20" s="218"/>
      <c r="B20" s="218"/>
      <c r="C20" s="218"/>
      <c r="D20" s="218"/>
      <c r="E20" s="218"/>
      <c r="F20" s="232"/>
      <c r="G20" s="218"/>
      <c r="H20" s="218"/>
    </row>
    <row r="21" spans="1:11" s="185" customFormat="1" ht="27" customHeight="1" x14ac:dyDescent="0.25">
      <c r="A21" s="182"/>
      <c r="B21" s="182"/>
      <c r="C21" s="183" t="s">
        <v>288</v>
      </c>
      <c r="D21" s="481" t="s">
        <v>289</v>
      </c>
      <c r="E21" s="481"/>
      <c r="F21" s="233"/>
      <c r="G21" s="219"/>
      <c r="H21" s="182"/>
    </row>
    <row r="22" spans="1:11" ht="45" customHeight="1" x14ac:dyDescent="0.25">
      <c r="A22" s="186" t="s">
        <v>290</v>
      </c>
      <c r="B22" s="186" t="s">
        <v>149</v>
      </c>
      <c r="C22" s="186" t="s">
        <v>291</v>
      </c>
      <c r="D22" s="186" t="s">
        <v>150</v>
      </c>
      <c r="E22" s="186" t="s">
        <v>298</v>
      </c>
      <c r="F22" s="186" t="s">
        <v>292</v>
      </c>
      <c r="G22" s="186" t="s">
        <v>359</v>
      </c>
      <c r="H22" s="186" t="s">
        <v>358</v>
      </c>
      <c r="I22" s="186" t="s">
        <v>54</v>
      </c>
    </row>
    <row r="23" spans="1:11" x14ac:dyDescent="0.25">
      <c r="A23" s="187" t="s">
        <v>293</v>
      </c>
      <c r="B23" s="188">
        <f>B14</f>
        <v>500000</v>
      </c>
      <c r="C23" s="188">
        <f t="shared" ref="C23:D23" si="1">C14</f>
        <v>50000</v>
      </c>
      <c r="D23" s="188">
        <f t="shared" si="1"/>
        <v>1539</v>
      </c>
      <c r="E23" s="188"/>
      <c r="F23" s="188">
        <f>E14</f>
        <v>11693.57</v>
      </c>
      <c r="G23" s="188"/>
      <c r="H23" s="188">
        <v>0</v>
      </c>
      <c r="I23" s="189">
        <f t="shared" ref="I23:I33" si="2">SUM(B23:H23)</f>
        <v>563232.56999999995</v>
      </c>
    </row>
    <row r="24" spans="1:11" x14ac:dyDescent="0.25">
      <c r="A24" s="190" t="s">
        <v>294</v>
      </c>
      <c r="B24" s="191"/>
      <c r="C24" s="191"/>
      <c r="D24" s="191"/>
      <c r="E24" s="191"/>
      <c r="F24" s="191"/>
      <c r="G24" s="191"/>
      <c r="H24" s="191"/>
      <c r="I24" s="189">
        <f t="shared" si="2"/>
        <v>0</v>
      </c>
    </row>
    <row r="25" spans="1:11" x14ac:dyDescent="0.25">
      <c r="A25" s="193" t="s">
        <v>366</v>
      </c>
      <c r="B25" s="194"/>
      <c r="C25" s="194"/>
      <c r="D25" s="194"/>
      <c r="E25" s="194"/>
      <c r="F25" s="194"/>
      <c r="G25" s="194"/>
      <c r="H25" s="194"/>
      <c r="I25" s="189">
        <f t="shared" si="2"/>
        <v>0</v>
      </c>
    </row>
    <row r="26" spans="1:11" s="244" customFormat="1" x14ac:dyDescent="0.25">
      <c r="A26" s="242" t="s">
        <v>367</v>
      </c>
      <c r="B26" s="243"/>
      <c r="C26" s="243"/>
      <c r="D26" s="243"/>
      <c r="E26" s="243"/>
      <c r="F26" s="243"/>
      <c r="G26" s="243">
        <f>Lançamentos!B171</f>
        <v>1000</v>
      </c>
      <c r="H26" s="243"/>
      <c r="I26" s="189">
        <f t="shared" si="2"/>
        <v>1000</v>
      </c>
    </row>
    <row r="27" spans="1:11" x14ac:dyDescent="0.25">
      <c r="A27" s="193" t="s">
        <v>296</v>
      </c>
      <c r="B27" s="194"/>
      <c r="C27" s="194"/>
      <c r="D27" s="194"/>
      <c r="E27" s="194"/>
      <c r="F27" s="194"/>
      <c r="G27" s="3"/>
      <c r="H27" s="194">
        <f>'DRE 2013'!F45</f>
        <v>16533.854988208113</v>
      </c>
      <c r="I27" s="189">
        <f t="shared" si="2"/>
        <v>16533.854988208113</v>
      </c>
    </row>
    <row r="28" spans="1:11" x14ac:dyDescent="0.25">
      <c r="A28" s="193" t="s">
        <v>297</v>
      </c>
      <c r="B28" s="194"/>
      <c r="C28" s="194"/>
      <c r="D28" s="194"/>
      <c r="E28" s="194"/>
      <c r="F28" s="194"/>
      <c r="G28" s="3"/>
      <c r="H28" s="194"/>
      <c r="I28" s="189">
        <f t="shared" si="2"/>
        <v>0</v>
      </c>
    </row>
    <row r="29" spans="1:11" x14ac:dyDescent="0.25">
      <c r="A29" s="196" t="s">
        <v>150</v>
      </c>
      <c r="B29" s="194"/>
      <c r="C29" s="194"/>
      <c r="D29" s="197">
        <f>-H29</f>
        <v>826.69274941040612</v>
      </c>
      <c r="E29" s="197"/>
      <c r="F29" s="194"/>
      <c r="G29" s="3"/>
      <c r="H29" s="194">
        <f>Lançamentos!B278</f>
        <v>-826.69274941040612</v>
      </c>
      <c r="I29" s="189">
        <f t="shared" si="2"/>
        <v>0</v>
      </c>
    </row>
    <row r="30" spans="1:11" x14ac:dyDescent="0.25">
      <c r="A30" s="196" t="s">
        <v>298</v>
      </c>
      <c r="B30" s="194"/>
      <c r="C30" s="194"/>
      <c r="D30" s="194"/>
      <c r="E30" s="194">
        <f>-H30</f>
        <v>1570.7162238797716</v>
      </c>
      <c r="F30" s="194"/>
      <c r="G30" s="3"/>
      <c r="H30" s="194">
        <f>Lançamentos!B279</f>
        <v>-1570.7162238797716</v>
      </c>
      <c r="I30" s="189">
        <f t="shared" si="2"/>
        <v>0</v>
      </c>
    </row>
    <row r="31" spans="1:11" x14ac:dyDescent="0.25">
      <c r="A31" s="196" t="s">
        <v>368</v>
      </c>
      <c r="B31" s="194"/>
      <c r="C31" s="194"/>
      <c r="D31" s="194"/>
      <c r="E31" s="194"/>
      <c r="F31" s="194">
        <f>-H31</f>
        <v>4712.1486716393138</v>
      </c>
      <c r="G31" s="3"/>
      <c r="H31" s="194">
        <f>-Lançamentos!B281</f>
        <v>-4712.1486716393138</v>
      </c>
      <c r="I31" s="189">
        <f t="shared" si="2"/>
        <v>0</v>
      </c>
    </row>
    <row r="32" spans="1:11" x14ac:dyDescent="0.25">
      <c r="A32" s="193" t="s">
        <v>299</v>
      </c>
      <c r="B32" s="194"/>
      <c r="C32" s="194"/>
      <c r="D32" s="194"/>
      <c r="E32" s="194"/>
      <c r="F32" s="194"/>
      <c r="G32" s="3"/>
      <c r="H32" s="194">
        <f>Lançamentos!B280</f>
        <v>-9424.2973432786293</v>
      </c>
      <c r="I32" s="189">
        <f t="shared" si="2"/>
        <v>-9424.2973432786293</v>
      </c>
      <c r="J32" s="15" t="s">
        <v>354</v>
      </c>
      <c r="K32" s="208">
        <f>SUM(I23:I32)</f>
        <v>571342.12764492945</v>
      </c>
    </row>
    <row r="33" spans="1:11" x14ac:dyDescent="0.25">
      <c r="A33" s="199" t="s">
        <v>31</v>
      </c>
      <c r="B33" s="192">
        <f t="shared" ref="B33:H33" si="3">SUM(B23:B32)</f>
        <v>500000</v>
      </c>
      <c r="C33" s="192">
        <f t="shared" si="3"/>
        <v>50000</v>
      </c>
      <c r="D33" s="192">
        <f t="shared" si="3"/>
        <v>2365.6927494104061</v>
      </c>
      <c r="E33" s="192">
        <f t="shared" si="3"/>
        <v>1570.7162238797716</v>
      </c>
      <c r="F33" s="192">
        <f t="shared" si="3"/>
        <v>16405.718671639312</v>
      </c>
      <c r="G33" s="192">
        <f t="shared" si="3"/>
        <v>1000</v>
      </c>
      <c r="H33" s="192">
        <f t="shared" si="3"/>
        <v>0</v>
      </c>
      <c r="I33" s="192">
        <f t="shared" si="2"/>
        <v>571342.12764492945</v>
      </c>
      <c r="J33" s="231"/>
      <c r="K33" s="208">
        <f>K32-I33</f>
        <v>0</v>
      </c>
    </row>
  </sheetData>
  <mergeCells count="8">
    <mergeCell ref="A18:H18"/>
    <mergeCell ref="A19:H19"/>
    <mergeCell ref="D21:E21"/>
    <mergeCell ref="A1:H1"/>
    <mergeCell ref="A2:H2"/>
    <mergeCell ref="A3:H3"/>
    <mergeCell ref="D5:E5"/>
    <mergeCell ref="A17:H17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="120" zoomScaleNormal="120" workbookViewId="0">
      <selection activeCell="B15" sqref="B15"/>
    </sheetView>
  </sheetViews>
  <sheetFormatPr defaultColWidth="8.85546875" defaultRowHeight="15" x14ac:dyDescent="0.25"/>
  <cols>
    <col min="1" max="1" width="38.42578125" style="15" customWidth="1"/>
    <col min="2" max="2" width="14.85546875" style="18" customWidth="1"/>
    <col min="3" max="3" width="19.5703125" style="15" customWidth="1"/>
    <col min="4" max="4" width="12.5703125" style="15" bestFit="1" customWidth="1"/>
    <col min="5" max="16384" width="8.85546875" style="15"/>
  </cols>
  <sheetData>
    <row r="1" spans="1:7" x14ac:dyDescent="0.25">
      <c r="A1" s="17" t="s">
        <v>131</v>
      </c>
    </row>
    <row r="2" spans="1:7" ht="30" x14ac:dyDescent="0.25">
      <c r="A2" s="1" t="s">
        <v>130</v>
      </c>
      <c r="B2" s="227" t="s">
        <v>129</v>
      </c>
      <c r="C2" s="5" t="s">
        <v>128</v>
      </c>
      <c r="D2" s="21" t="s">
        <v>127</v>
      </c>
    </row>
    <row r="3" spans="1:7" x14ac:dyDescent="0.25">
      <c r="A3" s="1" t="s">
        <v>126</v>
      </c>
      <c r="B3" s="228">
        <v>80000</v>
      </c>
      <c r="C3" s="5">
        <v>50</v>
      </c>
      <c r="D3" s="22">
        <f>B3/C3</f>
        <v>1600</v>
      </c>
      <c r="F3" s="241"/>
      <c r="G3" s="241"/>
    </row>
    <row r="4" spans="1:7" x14ac:dyDescent="0.25">
      <c r="A4" s="1" t="s">
        <v>125</v>
      </c>
      <c r="B4" s="228">
        <v>100000</v>
      </c>
      <c r="C4" s="5">
        <v>15</v>
      </c>
      <c r="D4" s="22">
        <f>B4/C4</f>
        <v>6666.666666666667</v>
      </c>
      <c r="F4" s="241"/>
      <c r="G4" s="241"/>
    </row>
    <row r="5" spans="1:7" x14ac:dyDescent="0.25">
      <c r="A5" s="1" t="s">
        <v>124</v>
      </c>
      <c r="B5" s="228">
        <v>20000</v>
      </c>
      <c r="C5" s="5">
        <v>10</v>
      </c>
      <c r="D5" s="22">
        <f>B5/C5</f>
        <v>2000</v>
      </c>
      <c r="F5" s="241"/>
      <c r="G5" s="241"/>
    </row>
    <row r="6" spans="1:7" x14ac:dyDescent="0.25">
      <c r="A6" s="1" t="s">
        <v>123</v>
      </c>
      <c r="B6" s="228">
        <v>50000</v>
      </c>
      <c r="C6" s="5">
        <v>5</v>
      </c>
      <c r="D6" s="22">
        <f>B6/C6</f>
        <v>10000</v>
      </c>
      <c r="F6" s="241"/>
      <c r="G6" s="241"/>
    </row>
    <row r="7" spans="1:7" x14ac:dyDescent="0.25">
      <c r="A7" s="1" t="s">
        <v>122</v>
      </c>
      <c r="B7" s="228">
        <v>10000</v>
      </c>
      <c r="C7" s="5">
        <v>10</v>
      </c>
      <c r="D7" s="22">
        <f>B7/C7</f>
        <v>1000</v>
      </c>
      <c r="F7" s="241"/>
      <c r="G7" s="241"/>
    </row>
    <row r="9" spans="1:7" ht="20.25" customHeight="1" x14ac:dyDescent="0.25">
      <c r="A9" s="220" t="s">
        <v>335</v>
      </c>
      <c r="F9" s="226" t="s">
        <v>334</v>
      </c>
    </row>
    <row r="11" spans="1:7" x14ac:dyDescent="0.25">
      <c r="A11" s="220" t="s">
        <v>527</v>
      </c>
      <c r="B11" s="18">
        <f>(B6/C6)/12*11</f>
        <v>9166.6666666666679</v>
      </c>
    </row>
    <row r="12" spans="1:7" x14ac:dyDescent="0.25">
      <c r="A12" s="201" t="s">
        <v>336</v>
      </c>
      <c r="B12" s="18">
        <f>B6/C6</f>
        <v>10000</v>
      </c>
    </row>
    <row r="13" spans="1:7" x14ac:dyDescent="0.25">
      <c r="A13" s="220" t="s">
        <v>337</v>
      </c>
      <c r="B13" s="18">
        <f>B11+B12</f>
        <v>19166.666666666668</v>
      </c>
    </row>
    <row r="14" spans="1:7" x14ac:dyDescent="0.25">
      <c r="A14" s="201" t="s">
        <v>338</v>
      </c>
      <c r="B14" s="18">
        <f>B6</f>
        <v>50000</v>
      </c>
    </row>
    <row r="15" spans="1:7" x14ac:dyDescent="0.25">
      <c r="A15" s="229" t="s">
        <v>339</v>
      </c>
      <c r="B15" s="230">
        <f>B14-B13</f>
        <v>30833.333333333332</v>
      </c>
    </row>
    <row r="17" spans="1:2" x14ac:dyDescent="0.25">
      <c r="A17" s="220" t="s">
        <v>342</v>
      </c>
      <c r="B17" s="18">
        <v>90000</v>
      </c>
    </row>
    <row r="18" spans="1:2" x14ac:dyDescent="0.25">
      <c r="A18" s="220" t="s">
        <v>340</v>
      </c>
      <c r="B18" s="18">
        <v>5000</v>
      </c>
    </row>
    <row r="19" spans="1:2" x14ac:dyDescent="0.25">
      <c r="A19" s="15" t="s">
        <v>341</v>
      </c>
      <c r="B19" s="18">
        <v>1000</v>
      </c>
    </row>
    <row r="20" spans="1:2" x14ac:dyDescent="0.25">
      <c r="A20" s="220" t="s">
        <v>343</v>
      </c>
      <c r="B20" s="18">
        <f>B17-B18-B19</f>
        <v>84000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showGridLines="0" zoomScale="220" zoomScaleNormal="220" workbookViewId="0">
      <selection activeCell="C7" sqref="C7"/>
    </sheetView>
  </sheetViews>
  <sheetFormatPr defaultColWidth="8.85546875" defaultRowHeight="15" x14ac:dyDescent="0.25"/>
  <cols>
    <col min="1" max="1" width="13.5703125" style="15" bestFit="1" customWidth="1"/>
    <col min="2" max="2" width="9.28515625" style="15" bestFit="1" customWidth="1"/>
    <col min="3" max="3" width="23.85546875" style="15" customWidth="1"/>
    <col min="4" max="16384" width="8.85546875" style="15"/>
  </cols>
  <sheetData>
    <row r="1" spans="1:3" x14ac:dyDescent="0.25">
      <c r="A1" s="3" t="s">
        <v>12</v>
      </c>
      <c r="B1" s="3" t="s">
        <v>13</v>
      </c>
      <c r="C1" s="3" t="s">
        <v>14</v>
      </c>
    </row>
    <row r="2" spans="1:3" x14ac:dyDescent="0.25">
      <c r="A2" s="3" t="s">
        <v>15</v>
      </c>
      <c r="B2" s="4">
        <v>5000</v>
      </c>
      <c r="C2" s="3" t="s">
        <v>16</v>
      </c>
    </row>
    <row r="3" spans="1:3" x14ac:dyDescent="0.25">
      <c r="A3" s="3" t="s">
        <v>17</v>
      </c>
      <c r="B3" s="4">
        <v>2000</v>
      </c>
      <c r="C3" s="3" t="s">
        <v>18</v>
      </c>
    </row>
    <row r="4" spans="1:3" x14ac:dyDescent="0.25">
      <c r="A4" s="3" t="s">
        <v>19</v>
      </c>
      <c r="B4" s="4">
        <v>1500</v>
      </c>
      <c r="C4" s="3" t="s">
        <v>20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opLeftCell="B1" zoomScale="130" zoomScaleNormal="130" workbookViewId="0">
      <selection activeCell="G10" sqref="G10"/>
    </sheetView>
  </sheetViews>
  <sheetFormatPr defaultColWidth="8.85546875" defaultRowHeight="15" x14ac:dyDescent="0.25"/>
  <cols>
    <col min="1" max="1" width="3.85546875" style="15" customWidth="1"/>
    <col min="2" max="2" width="11.28515625" style="15" customWidth="1"/>
    <col min="3" max="3" width="16.42578125" style="20" customWidth="1"/>
    <col min="4" max="4" width="12.140625" style="20" bestFit="1" customWidth="1"/>
    <col min="5" max="5" width="12.140625" style="15" bestFit="1" customWidth="1"/>
    <col min="6" max="6" width="12.42578125" style="20" bestFit="1" customWidth="1"/>
    <col min="7" max="7" width="12.140625" style="20" bestFit="1" customWidth="1"/>
    <col min="8" max="8" width="12.28515625" style="15" customWidth="1"/>
    <col min="9" max="9" width="12.28515625" style="20" bestFit="1" customWidth="1"/>
    <col min="10" max="10" width="12.140625" style="20" bestFit="1" customWidth="1"/>
    <col min="11" max="16384" width="8.85546875" style="15"/>
  </cols>
  <sheetData>
    <row r="1" spans="1:10" x14ac:dyDescent="0.25">
      <c r="B1" s="16" t="s">
        <v>312</v>
      </c>
    </row>
    <row r="2" spans="1:10" x14ac:dyDescent="0.25">
      <c r="B2" s="16"/>
    </row>
    <row r="3" spans="1:10" x14ac:dyDescent="0.25">
      <c r="B3" s="449" t="s">
        <v>141</v>
      </c>
      <c r="C3" s="449"/>
      <c r="D3" s="449"/>
      <c r="E3" s="449" t="s">
        <v>140</v>
      </c>
      <c r="F3" s="449"/>
      <c r="G3" s="449"/>
      <c r="H3" s="449" t="s">
        <v>139</v>
      </c>
      <c r="I3" s="449"/>
      <c r="J3" s="449"/>
    </row>
    <row r="4" spans="1:10" x14ac:dyDescent="0.25">
      <c r="B4" s="48" t="s">
        <v>138</v>
      </c>
      <c r="C4" s="7" t="s">
        <v>137</v>
      </c>
      <c r="D4" s="7" t="s">
        <v>136</v>
      </c>
      <c r="E4" s="48" t="s">
        <v>138</v>
      </c>
      <c r="F4" s="7" t="s">
        <v>137</v>
      </c>
      <c r="G4" s="7" t="s">
        <v>136</v>
      </c>
      <c r="H4" s="48" t="s">
        <v>138</v>
      </c>
      <c r="I4" s="7" t="s">
        <v>137</v>
      </c>
      <c r="J4" s="7" t="s">
        <v>136</v>
      </c>
    </row>
    <row r="5" spans="1:10" x14ac:dyDescent="0.25">
      <c r="A5" s="46"/>
      <c r="B5" s="21">
        <v>100</v>
      </c>
      <c r="C5" s="4">
        <v>20</v>
      </c>
      <c r="D5" s="4">
        <f>B5*C5</f>
        <v>2000</v>
      </c>
      <c r="E5" s="21"/>
      <c r="F5" s="4"/>
      <c r="G5" s="4"/>
      <c r="H5" s="21">
        <f>B5</f>
        <v>100</v>
      </c>
      <c r="I5" s="4">
        <f>C5</f>
        <v>20</v>
      </c>
      <c r="J5" s="4">
        <f>D5</f>
        <v>2000</v>
      </c>
    </row>
    <row r="6" spans="1:10" x14ac:dyDescent="0.25">
      <c r="A6" s="46"/>
      <c r="B6" s="3"/>
      <c r="C6" s="4"/>
      <c r="D6" s="4"/>
      <c r="E6" s="21">
        <v>5</v>
      </c>
      <c r="F6" s="4">
        <f>I5</f>
        <v>20</v>
      </c>
      <c r="G6" s="4">
        <f>E6*F6</f>
        <v>100</v>
      </c>
      <c r="H6" s="21">
        <f>H5-E6</f>
        <v>95</v>
      </c>
      <c r="I6" s="4">
        <f>J6/H6</f>
        <v>20</v>
      </c>
      <c r="J6" s="4">
        <f>J5-G6</f>
        <v>1900</v>
      </c>
    </row>
    <row r="7" spans="1:10" x14ac:dyDescent="0.25">
      <c r="A7" s="46"/>
      <c r="B7" s="21"/>
      <c r="C7" s="4"/>
      <c r="D7" s="4"/>
      <c r="E7" s="21">
        <v>20</v>
      </c>
      <c r="F7" s="4">
        <f>I6</f>
        <v>20</v>
      </c>
      <c r="G7" s="4">
        <f>E7*F7</f>
        <v>400</v>
      </c>
      <c r="H7" s="21">
        <f>H6-E7</f>
        <v>75</v>
      </c>
      <c r="I7" s="4">
        <f>J7/H7</f>
        <v>20</v>
      </c>
      <c r="J7" s="4">
        <f>J6-G7</f>
        <v>1500</v>
      </c>
    </row>
    <row r="8" spans="1:10" x14ac:dyDescent="0.25">
      <c r="A8" s="46"/>
      <c r="B8" s="21"/>
      <c r="C8" s="4"/>
      <c r="D8" s="4"/>
      <c r="E8" s="21">
        <v>30</v>
      </c>
      <c r="F8" s="4">
        <f>I7</f>
        <v>20</v>
      </c>
      <c r="G8" s="4">
        <f>E8*F8</f>
        <v>600</v>
      </c>
      <c r="H8" s="21">
        <f>H7-E8</f>
        <v>45</v>
      </c>
      <c r="I8" s="4">
        <f>J8/H8</f>
        <v>20</v>
      </c>
      <c r="J8" s="4">
        <f>J7-G8</f>
        <v>900</v>
      </c>
    </row>
    <row r="9" spans="1:10" x14ac:dyDescent="0.25">
      <c r="A9" s="46"/>
      <c r="B9" s="21"/>
      <c r="C9" s="4"/>
      <c r="D9" s="4"/>
      <c r="E9" s="21">
        <v>35</v>
      </c>
      <c r="F9" s="4">
        <f>I8</f>
        <v>20</v>
      </c>
      <c r="G9" s="4">
        <f>E9*F9</f>
        <v>700</v>
      </c>
      <c r="H9" s="45">
        <f>H8-E9</f>
        <v>10</v>
      </c>
      <c r="I9" s="44">
        <f>J9/H9</f>
        <v>20</v>
      </c>
      <c r="J9" s="44">
        <f>J8-G9</f>
        <v>200</v>
      </c>
    </row>
    <row r="10" spans="1:10" x14ac:dyDescent="0.25">
      <c r="A10" s="46"/>
      <c r="B10" s="21" t="s">
        <v>314</v>
      </c>
      <c r="C10" s="4"/>
      <c r="D10" s="4"/>
      <c r="E10" s="21">
        <f>SUM(E6:E9)</f>
        <v>90</v>
      </c>
      <c r="F10" s="21" t="s">
        <v>83</v>
      </c>
      <c r="G10" s="7">
        <f t="shared" ref="G10" si="0">SUM(G6:G9)</f>
        <v>1800</v>
      </c>
      <c r="H10" s="213">
        <v>10</v>
      </c>
      <c r="I10" s="214">
        <v>12</v>
      </c>
      <c r="J10" s="214">
        <f>H10*I10</f>
        <v>120</v>
      </c>
    </row>
    <row r="11" spans="1:10" x14ac:dyDescent="0.25">
      <c r="A11" s="46"/>
      <c r="B11" s="202"/>
      <c r="C11" s="30"/>
      <c r="D11" s="30"/>
      <c r="E11" s="202"/>
      <c r="F11" s="30"/>
      <c r="G11" s="30"/>
      <c r="H11" s="482" t="s">
        <v>318</v>
      </c>
      <c r="I11" s="482"/>
      <c r="J11" s="482"/>
    </row>
    <row r="12" spans="1:10" x14ac:dyDescent="0.25">
      <c r="A12" s="46"/>
      <c r="B12" s="202"/>
      <c r="C12" s="30"/>
      <c r="D12" s="30"/>
      <c r="E12" s="35" t="s">
        <v>315</v>
      </c>
      <c r="F12" s="30">
        <v>12</v>
      </c>
      <c r="G12" s="30"/>
      <c r="H12" s="204"/>
      <c r="I12" s="205"/>
      <c r="J12" s="205"/>
    </row>
    <row r="13" spans="1:10" x14ac:dyDescent="0.25">
      <c r="A13" s="46"/>
      <c r="B13" s="202"/>
      <c r="C13" s="30"/>
      <c r="D13" s="30"/>
      <c r="E13" s="35" t="s">
        <v>316</v>
      </c>
      <c r="F13" s="30">
        <f>I9-F12</f>
        <v>8</v>
      </c>
      <c r="G13" s="30"/>
      <c r="H13" s="204"/>
      <c r="I13" s="205"/>
      <c r="J13" s="205"/>
    </row>
    <row r="14" spans="1:10" x14ac:dyDescent="0.25">
      <c r="E14" s="212" t="s">
        <v>317</v>
      </c>
      <c r="F14" s="20">
        <f>F13*H9</f>
        <v>80</v>
      </c>
    </row>
  </sheetData>
  <mergeCells count="4">
    <mergeCell ref="H11:J11"/>
    <mergeCell ref="B3:D3"/>
    <mergeCell ref="E3:G3"/>
    <mergeCell ref="H3:J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opLeftCell="B1" zoomScale="130" zoomScaleNormal="130" workbookViewId="0">
      <selection activeCell="G10" sqref="G10"/>
    </sheetView>
  </sheetViews>
  <sheetFormatPr defaultColWidth="8.85546875" defaultRowHeight="15" x14ac:dyDescent="0.25"/>
  <cols>
    <col min="1" max="1" width="3.85546875" style="15" customWidth="1"/>
    <col min="2" max="2" width="11.28515625" style="15" customWidth="1"/>
    <col min="3" max="3" width="16.42578125" style="20" customWidth="1"/>
    <col min="4" max="4" width="12.140625" style="20" bestFit="1" customWidth="1"/>
    <col min="5" max="5" width="12.140625" style="15" bestFit="1" customWidth="1"/>
    <col min="6" max="6" width="12.42578125" style="20" bestFit="1" customWidth="1"/>
    <col min="7" max="7" width="12.140625" style="20" bestFit="1" customWidth="1"/>
    <col min="8" max="8" width="12.28515625" style="15" customWidth="1"/>
    <col min="9" max="9" width="12.28515625" style="20" bestFit="1" customWidth="1"/>
    <col min="10" max="10" width="12.140625" style="20" bestFit="1" customWidth="1"/>
    <col min="11" max="16384" width="8.85546875" style="15"/>
  </cols>
  <sheetData>
    <row r="1" spans="1:10" x14ac:dyDescent="0.25">
      <c r="B1" s="16" t="s">
        <v>313</v>
      </c>
    </row>
    <row r="2" spans="1:10" x14ac:dyDescent="0.25">
      <c r="B2" s="16"/>
    </row>
    <row r="3" spans="1:10" x14ac:dyDescent="0.25">
      <c r="B3" s="449" t="s">
        <v>141</v>
      </c>
      <c r="C3" s="449"/>
      <c r="D3" s="449"/>
      <c r="E3" s="449" t="s">
        <v>140</v>
      </c>
      <c r="F3" s="449"/>
      <c r="G3" s="449"/>
      <c r="H3" s="449" t="s">
        <v>139</v>
      </c>
      <c r="I3" s="449"/>
      <c r="J3" s="449"/>
    </row>
    <row r="4" spans="1:10" x14ac:dyDescent="0.25">
      <c r="B4" s="48" t="s">
        <v>138</v>
      </c>
      <c r="C4" s="7" t="s">
        <v>137</v>
      </c>
      <c r="D4" s="7" t="s">
        <v>136</v>
      </c>
      <c r="E4" s="48" t="s">
        <v>138</v>
      </c>
      <c r="F4" s="7" t="s">
        <v>137</v>
      </c>
      <c r="G4" s="7" t="s">
        <v>136</v>
      </c>
      <c r="H4" s="48" t="s">
        <v>138</v>
      </c>
      <c r="I4" s="7" t="s">
        <v>137</v>
      </c>
      <c r="J4" s="7" t="s">
        <v>136</v>
      </c>
    </row>
    <row r="5" spans="1:10" x14ac:dyDescent="0.25">
      <c r="A5" s="46"/>
      <c r="B5" s="21">
        <v>50</v>
      </c>
      <c r="C5" s="4">
        <v>130</v>
      </c>
      <c r="D5" s="4">
        <f>B5*C5</f>
        <v>6500</v>
      </c>
      <c r="E5" s="21"/>
      <c r="F5" s="4"/>
      <c r="G5" s="4"/>
      <c r="H5" s="21">
        <f>B5</f>
        <v>50</v>
      </c>
      <c r="I5" s="4">
        <f>C5</f>
        <v>130</v>
      </c>
      <c r="J5" s="4">
        <f>D5</f>
        <v>6500</v>
      </c>
    </row>
    <row r="6" spans="1:10" x14ac:dyDescent="0.25">
      <c r="A6" s="46"/>
      <c r="B6" s="3"/>
      <c r="C6" s="4"/>
      <c r="D6" s="4"/>
      <c r="E6" s="21">
        <v>2</v>
      </c>
      <c r="F6" s="4">
        <f>I5</f>
        <v>130</v>
      </c>
      <c r="G6" s="4">
        <f>E6*F6</f>
        <v>260</v>
      </c>
      <c r="H6" s="21">
        <f>H5-E6</f>
        <v>48</v>
      </c>
      <c r="I6" s="4">
        <f>J6/H6</f>
        <v>130</v>
      </c>
      <c r="J6" s="4">
        <f>J5-G6</f>
        <v>6240</v>
      </c>
    </row>
    <row r="7" spans="1:10" x14ac:dyDescent="0.25">
      <c r="A7" s="46"/>
      <c r="B7" s="21"/>
      <c r="C7" s="4"/>
      <c r="D7" s="4"/>
      <c r="E7" s="21">
        <v>10</v>
      </c>
      <c r="F7" s="4">
        <f>I6</f>
        <v>130</v>
      </c>
      <c r="G7" s="4">
        <f>E7*F7</f>
        <v>1300</v>
      </c>
      <c r="H7" s="21">
        <f>H6-E7</f>
        <v>38</v>
      </c>
      <c r="I7" s="4">
        <f>J7/H7</f>
        <v>130</v>
      </c>
      <c r="J7" s="4">
        <f>J6-G7</f>
        <v>4940</v>
      </c>
    </row>
    <row r="8" spans="1:10" x14ac:dyDescent="0.25">
      <c r="A8" s="46"/>
      <c r="B8" s="21"/>
      <c r="C8" s="4"/>
      <c r="D8" s="4"/>
      <c r="E8" s="21">
        <v>12</v>
      </c>
      <c r="F8" s="4">
        <f>I7</f>
        <v>130</v>
      </c>
      <c r="G8" s="4">
        <f>E8*F8</f>
        <v>1560</v>
      </c>
      <c r="H8" s="21">
        <f>H7-E8</f>
        <v>26</v>
      </c>
      <c r="I8" s="4">
        <f>J8/H8</f>
        <v>130</v>
      </c>
      <c r="J8" s="4">
        <f>J7-G8</f>
        <v>3380</v>
      </c>
    </row>
    <row r="9" spans="1:10" x14ac:dyDescent="0.25">
      <c r="A9" s="46"/>
      <c r="B9" s="21"/>
      <c r="C9" s="4"/>
      <c r="D9" s="4"/>
      <c r="E9" s="21">
        <v>15</v>
      </c>
      <c r="F9" s="4">
        <f>I8</f>
        <v>130</v>
      </c>
      <c r="G9" s="4">
        <f>E9*F9</f>
        <v>1950</v>
      </c>
      <c r="H9" s="45">
        <f>H8-E9</f>
        <v>11</v>
      </c>
      <c r="I9" s="44">
        <f>J9/H9</f>
        <v>130</v>
      </c>
      <c r="J9" s="44">
        <f>J8-G9</f>
        <v>1430</v>
      </c>
    </row>
    <row r="10" spans="1:10" x14ac:dyDescent="0.25">
      <c r="A10" s="46"/>
      <c r="B10" s="21" t="s">
        <v>314</v>
      </c>
      <c r="C10" s="4"/>
      <c r="D10" s="4"/>
      <c r="E10" s="21">
        <f>SUM(E6:E9)</f>
        <v>39</v>
      </c>
      <c r="F10" s="7" t="s">
        <v>83</v>
      </c>
      <c r="G10" s="7">
        <f>SUM(G6:G9)</f>
        <v>5070</v>
      </c>
      <c r="H10" s="213">
        <v>11</v>
      </c>
      <c r="I10" s="214">
        <v>110</v>
      </c>
      <c r="J10" s="214">
        <f>H10*I10</f>
        <v>1210</v>
      </c>
    </row>
    <row r="11" spans="1:10" x14ac:dyDescent="0.25">
      <c r="A11" s="46"/>
      <c r="B11" s="202"/>
      <c r="C11" s="30"/>
      <c r="D11" s="30"/>
      <c r="E11" s="202"/>
      <c r="F11" s="30"/>
      <c r="G11" s="30"/>
      <c r="H11" s="482" t="s">
        <v>318</v>
      </c>
      <c r="I11" s="482"/>
      <c r="J11" s="482"/>
    </row>
    <row r="12" spans="1:10" x14ac:dyDescent="0.25">
      <c r="A12" s="46"/>
      <c r="B12" s="202"/>
      <c r="C12" s="30"/>
      <c r="D12" s="30"/>
      <c r="E12" s="35" t="s">
        <v>315</v>
      </c>
      <c r="F12" s="30">
        <v>110</v>
      </c>
      <c r="G12" s="30"/>
      <c r="H12" s="204"/>
      <c r="I12" s="205"/>
      <c r="J12" s="205"/>
    </row>
    <row r="13" spans="1:10" x14ac:dyDescent="0.25">
      <c r="A13" s="46"/>
      <c r="B13" s="202"/>
      <c r="C13" s="30"/>
      <c r="D13" s="30"/>
      <c r="E13" s="35" t="s">
        <v>316</v>
      </c>
      <c r="F13" s="30">
        <f>I9-F12</f>
        <v>20</v>
      </c>
      <c r="G13" s="30"/>
      <c r="H13" s="204"/>
      <c r="I13" s="205"/>
      <c r="J13" s="205"/>
    </row>
    <row r="14" spans="1:10" x14ac:dyDescent="0.25">
      <c r="E14" s="212" t="s">
        <v>317</v>
      </c>
      <c r="F14" s="20">
        <f>F13*H9</f>
        <v>220</v>
      </c>
    </row>
  </sheetData>
  <mergeCells count="4">
    <mergeCell ref="B3:D3"/>
    <mergeCell ref="E3:G3"/>
    <mergeCell ref="H3:J3"/>
    <mergeCell ref="H11:J1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zoomScale="160" zoomScaleNormal="160" workbookViewId="0">
      <selection activeCell="A11" sqref="A11"/>
    </sheetView>
  </sheetViews>
  <sheetFormatPr defaultColWidth="8.85546875" defaultRowHeight="15" x14ac:dyDescent="0.25"/>
  <cols>
    <col min="1" max="1" width="38.42578125" style="15" customWidth="1"/>
    <col min="2" max="2" width="14.85546875" style="15" customWidth="1"/>
    <col min="3" max="3" width="19.5703125" style="15" customWidth="1"/>
    <col min="4" max="4" width="12.5703125" style="15" bestFit="1" customWidth="1"/>
    <col min="5" max="16384" width="8.85546875" style="15"/>
  </cols>
  <sheetData>
    <row r="1" spans="1:4" x14ac:dyDescent="0.25">
      <c r="A1" s="17" t="s">
        <v>131</v>
      </c>
    </row>
    <row r="2" spans="1:4" ht="30" x14ac:dyDescent="0.25">
      <c r="A2" s="1" t="s">
        <v>130</v>
      </c>
      <c r="B2" s="1" t="s">
        <v>129</v>
      </c>
      <c r="C2" s="5" t="s">
        <v>128</v>
      </c>
      <c r="D2" s="21" t="s">
        <v>127</v>
      </c>
    </row>
    <row r="3" spans="1:4" x14ac:dyDescent="0.25">
      <c r="A3" s="1" t="s">
        <v>126</v>
      </c>
      <c r="B3" s="23">
        <v>80000</v>
      </c>
      <c r="C3" s="5">
        <v>50</v>
      </c>
      <c r="D3" s="22">
        <f>B3/C3</f>
        <v>1600</v>
      </c>
    </row>
    <row r="4" spans="1:4" x14ac:dyDescent="0.25">
      <c r="A4" s="1" t="s">
        <v>125</v>
      </c>
      <c r="B4" s="23">
        <v>100000</v>
      </c>
      <c r="C4" s="5">
        <v>15</v>
      </c>
      <c r="D4" s="22">
        <f>B4/C4</f>
        <v>6666.666666666667</v>
      </c>
    </row>
    <row r="5" spans="1:4" x14ac:dyDescent="0.25">
      <c r="A5" s="1" t="s">
        <v>124</v>
      </c>
      <c r="B5" s="23">
        <v>20000</v>
      </c>
      <c r="C5" s="5">
        <v>10</v>
      </c>
      <c r="D5" s="22">
        <f>B5/C5</f>
        <v>2000</v>
      </c>
    </row>
    <row r="6" spans="1:4" x14ac:dyDescent="0.25">
      <c r="A6" s="1" t="s">
        <v>123</v>
      </c>
      <c r="B6" s="23">
        <v>50000</v>
      </c>
      <c r="C6" s="5">
        <v>5</v>
      </c>
      <c r="D6" s="22">
        <f>B6/C6</f>
        <v>10000</v>
      </c>
    </row>
    <row r="7" spans="1:4" x14ac:dyDescent="0.25">
      <c r="A7" s="1" t="s">
        <v>122</v>
      </c>
      <c r="B7" s="23">
        <v>10000</v>
      </c>
      <c r="C7" s="5">
        <v>10</v>
      </c>
      <c r="D7" s="22">
        <f>B7/C7</f>
        <v>1000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showGridLines="0" zoomScale="115" zoomScaleNormal="115" workbookViewId="0">
      <selection activeCell="A11" sqref="A11:XFD14"/>
    </sheetView>
  </sheetViews>
  <sheetFormatPr defaultColWidth="9.140625" defaultRowHeight="15" x14ac:dyDescent="0.25"/>
  <cols>
    <col min="1" max="1" width="34.7109375" style="15" bestFit="1" customWidth="1"/>
    <col min="2" max="2" width="9.140625" style="15" customWidth="1"/>
    <col min="3" max="3" width="9.140625" style="15"/>
    <col min="4" max="4" width="2.140625" style="15" customWidth="1"/>
    <col min="5" max="5" width="17.42578125" style="15" customWidth="1"/>
    <col min="6" max="16384" width="9.140625" style="15"/>
  </cols>
  <sheetData>
    <row r="2" spans="1:6" x14ac:dyDescent="0.25">
      <c r="B2" s="49" t="s">
        <v>151</v>
      </c>
      <c r="C2" s="49"/>
    </row>
    <row r="4" spans="1:6" x14ac:dyDescent="0.25">
      <c r="A4" s="15" t="s">
        <v>152</v>
      </c>
      <c r="E4" s="50">
        <f>'[7]Raz x1'!D70</f>
        <v>108500</v>
      </c>
    </row>
    <row r="5" spans="1:6" x14ac:dyDescent="0.25">
      <c r="A5" s="15" t="s">
        <v>153</v>
      </c>
      <c r="E5" s="50"/>
    </row>
    <row r="6" spans="1:6" x14ac:dyDescent="0.25">
      <c r="A6" s="51" t="s">
        <v>154</v>
      </c>
      <c r="D6" s="52" t="s">
        <v>155</v>
      </c>
      <c r="E6" s="53">
        <f>'[7]Raz x1'!M57</f>
        <v>18445</v>
      </c>
      <c r="F6" s="26" t="s">
        <v>156</v>
      </c>
    </row>
    <row r="7" spans="1:6" x14ac:dyDescent="0.25">
      <c r="A7" s="15" t="s">
        <v>157</v>
      </c>
      <c r="E7" s="50">
        <f>E4-E6</f>
        <v>90055</v>
      </c>
    </row>
    <row r="11" spans="1:6" x14ac:dyDescent="0.25">
      <c r="B11" s="479" t="s">
        <v>158</v>
      </c>
      <c r="C11" s="479"/>
      <c r="D11" s="479"/>
      <c r="E11" s="479"/>
    </row>
    <row r="12" spans="1:6" x14ac:dyDescent="0.25">
      <c r="B12" s="479" t="s">
        <v>159</v>
      </c>
      <c r="C12" s="479"/>
      <c r="D12" s="479"/>
      <c r="E12" s="479"/>
    </row>
    <row r="13" spans="1:6" x14ac:dyDescent="0.25">
      <c r="B13" s="479" t="s">
        <v>160</v>
      </c>
      <c r="C13" s="479"/>
      <c r="D13" s="479"/>
      <c r="E13" s="479"/>
    </row>
    <row r="14" spans="1:6" x14ac:dyDescent="0.25">
      <c r="B14" s="479" t="s">
        <v>161</v>
      </c>
      <c r="C14" s="479"/>
      <c r="D14" s="479"/>
      <c r="E14" s="479"/>
    </row>
    <row r="15" spans="1:6" x14ac:dyDescent="0.25">
      <c r="E15" s="54"/>
    </row>
    <row r="16" spans="1:6" x14ac:dyDescent="0.25">
      <c r="A16" s="15" t="s">
        <v>162</v>
      </c>
      <c r="E16" s="50">
        <f>E7</f>
        <v>90055</v>
      </c>
    </row>
    <row r="17" spans="1:6" x14ac:dyDescent="0.25">
      <c r="A17" s="15" t="s">
        <v>163</v>
      </c>
      <c r="D17" s="52" t="s">
        <v>155</v>
      </c>
      <c r="E17" s="53">
        <f>'[7]Raz x1'!H57</f>
        <v>9026.25</v>
      </c>
      <c r="F17" s="26" t="s">
        <v>156</v>
      </c>
    </row>
    <row r="18" spans="1:6" x14ac:dyDescent="0.25">
      <c r="A18" s="55" t="s">
        <v>164</v>
      </c>
      <c r="B18" s="55"/>
      <c r="C18" s="55"/>
      <c r="D18" s="55"/>
      <c r="E18" s="56">
        <f>E16-E17</f>
        <v>81028.75</v>
      </c>
      <c r="F18" s="57"/>
    </row>
    <row r="19" spans="1:6" x14ac:dyDescent="0.25">
      <c r="E19" s="50"/>
    </row>
    <row r="20" spans="1:6" x14ac:dyDescent="0.25">
      <c r="A20" s="16" t="s">
        <v>165</v>
      </c>
      <c r="E20" s="50"/>
    </row>
    <row r="21" spans="1:6" x14ac:dyDescent="0.25">
      <c r="A21" s="51" t="s">
        <v>166</v>
      </c>
      <c r="D21" s="58" t="s">
        <v>155</v>
      </c>
      <c r="E21" s="59">
        <f>'[7]Raz x1'!C57</f>
        <v>700</v>
      </c>
      <c r="F21" s="31" t="s">
        <v>156</v>
      </c>
    </row>
    <row r="22" spans="1:6" x14ac:dyDescent="0.25">
      <c r="A22" s="51" t="s">
        <v>167</v>
      </c>
      <c r="D22" s="60" t="s">
        <v>155</v>
      </c>
      <c r="E22" s="61">
        <f>'[7]Raz x1'!AG57</f>
        <v>2000</v>
      </c>
      <c r="F22" s="15" t="s">
        <v>156</v>
      </c>
    </row>
    <row r="23" spans="1:6" x14ac:dyDescent="0.25">
      <c r="A23" s="51"/>
      <c r="D23" s="60"/>
      <c r="E23" s="61"/>
    </row>
    <row r="24" spans="1:6" x14ac:dyDescent="0.25">
      <c r="A24" s="16" t="s">
        <v>168</v>
      </c>
      <c r="E24" s="50"/>
    </row>
    <row r="25" spans="1:6" x14ac:dyDescent="0.25">
      <c r="A25" s="51" t="s">
        <v>169</v>
      </c>
      <c r="D25" s="60" t="s">
        <v>155</v>
      </c>
      <c r="E25" s="61">
        <f>'[7]Raz x1'!AV57</f>
        <v>600</v>
      </c>
      <c r="F25" s="15" t="s">
        <v>156</v>
      </c>
    </row>
    <row r="26" spans="1:6" x14ac:dyDescent="0.25">
      <c r="A26" s="51" t="s">
        <v>170</v>
      </c>
      <c r="D26" s="60" t="s">
        <v>155</v>
      </c>
      <c r="E26" s="61">
        <f>'[7]Raz x1'!AL57</f>
        <v>450</v>
      </c>
      <c r="F26" s="15" t="s">
        <v>156</v>
      </c>
    </row>
    <row r="27" spans="1:6" x14ac:dyDescent="0.25">
      <c r="A27" s="51" t="s">
        <v>171</v>
      </c>
      <c r="D27" s="60" t="s">
        <v>155</v>
      </c>
      <c r="E27" s="61">
        <f>'[7]Raz x1'!AQ57</f>
        <v>21266.67</v>
      </c>
      <c r="F27" s="15" t="s">
        <v>156</v>
      </c>
    </row>
    <row r="28" spans="1:6" x14ac:dyDescent="0.25">
      <c r="A28" s="51" t="s">
        <v>172</v>
      </c>
      <c r="D28" s="58" t="s">
        <v>155</v>
      </c>
      <c r="E28" s="59">
        <v>1000</v>
      </c>
      <c r="F28" s="31" t="s">
        <v>156</v>
      </c>
    </row>
    <row r="29" spans="1:6" x14ac:dyDescent="0.25">
      <c r="A29" s="51" t="s">
        <v>173</v>
      </c>
      <c r="D29" s="58" t="s">
        <v>155</v>
      </c>
      <c r="E29" s="59">
        <v>2000</v>
      </c>
      <c r="F29" s="31" t="s">
        <v>156</v>
      </c>
    </row>
    <row r="30" spans="1:6" x14ac:dyDescent="0.25">
      <c r="A30" s="51" t="s">
        <v>174</v>
      </c>
      <c r="D30" s="58" t="s">
        <v>155</v>
      </c>
      <c r="E30" s="59">
        <v>5000</v>
      </c>
      <c r="F30" s="31" t="s">
        <v>156</v>
      </c>
    </row>
    <row r="31" spans="1:6" x14ac:dyDescent="0.25">
      <c r="A31" s="51"/>
      <c r="D31" s="58"/>
      <c r="E31" s="59"/>
      <c r="F31" s="31"/>
    </row>
    <row r="32" spans="1:6" s="16" customFormat="1" x14ac:dyDescent="0.25">
      <c r="A32" s="55" t="s">
        <v>175</v>
      </c>
      <c r="B32" s="55"/>
      <c r="C32" s="55"/>
      <c r="D32" s="62"/>
      <c r="E32" s="63">
        <f>E18-E25-E22-E26-E27-E28-E21-E29-E30</f>
        <v>48012.08</v>
      </c>
      <c r="F32" s="62"/>
    </row>
    <row r="33" spans="1:6" s="64" customFormat="1" x14ac:dyDescent="0.25">
      <c r="D33" s="65"/>
      <c r="E33" s="66"/>
      <c r="F33" s="65"/>
    </row>
    <row r="34" spans="1:6" s="16" customFormat="1" x14ac:dyDescent="0.25">
      <c r="A34" s="67" t="s">
        <v>176</v>
      </c>
      <c r="D34" s="68"/>
      <c r="E34" s="69"/>
      <c r="F34" s="68"/>
    </row>
    <row r="35" spans="1:6" s="67" customFormat="1" x14ac:dyDescent="0.25">
      <c r="A35" s="67" t="s">
        <v>177</v>
      </c>
      <c r="D35" s="70" t="s">
        <v>155</v>
      </c>
      <c r="E35" s="71">
        <f>'[7]Raz x1'!BA57</f>
        <v>1387</v>
      </c>
      <c r="F35" s="72" t="s">
        <v>156</v>
      </c>
    </row>
    <row r="36" spans="1:6" s="16" customFormat="1" x14ac:dyDescent="0.25">
      <c r="D36" s="73"/>
      <c r="E36" s="74"/>
      <c r="F36" s="68"/>
    </row>
    <row r="37" spans="1:6" s="16" customFormat="1" x14ac:dyDescent="0.25">
      <c r="A37" s="55" t="s">
        <v>178</v>
      </c>
      <c r="B37" s="55"/>
      <c r="C37" s="55"/>
      <c r="D37" s="62"/>
      <c r="E37" s="63">
        <f>-E35</f>
        <v>-1387</v>
      </c>
      <c r="F37" s="62"/>
    </row>
    <row r="38" spans="1:6" s="16" customFormat="1" x14ac:dyDescent="0.25">
      <c r="D38" s="73"/>
      <c r="E38" s="74"/>
      <c r="F38" s="68"/>
    </row>
    <row r="39" spans="1:6" s="16" customFormat="1" x14ac:dyDescent="0.25">
      <c r="A39" s="55" t="s">
        <v>179</v>
      </c>
      <c r="B39" s="55"/>
      <c r="C39" s="55"/>
      <c r="D39" s="62"/>
      <c r="E39" s="63">
        <f>E32+E37</f>
        <v>46625.08</v>
      </c>
      <c r="F39" s="62"/>
    </row>
    <row r="40" spans="1:6" s="64" customFormat="1" x14ac:dyDescent="0.25">
      <c r="D40" s="65"/>
      <c r="E40" s="66"/>
      <c r="F40" s="65"/>
    </row>
    <row r="41" spans="1:6" x14ac:dyDescent="0.25">
      <c r="A41" s="15" t="s">
        <v>180</v>
      </c>
      <c r="D41" s="75" t="s">
        <v>155</v>
      </c>
      <c r="E41" s="50">
        <f>E39*25%</f>
        <v>11656.27</v>
      </c>
      <c r="F41" s="15" t="s">
        <v>156</v>
      </c>
    </row>
    <row r="42" spans="1:6" x14ac:dyDescent="0.25">
      <c r="A42" s="15" t="s">
        <v>181</v>
      </c>
      <c r="D42" s="52" t="s">
        <v>155</v>
      </c>
      <c r="E42" s="76">
        <f>E39*9%</f>
        <v>4196.2572</v>
      </c>
      <c r="F42" s="26" t="s">
        <v>156</v>
      </c>
    </row>
    <row r="43" spans="1:6" x14ac:dyDescent="0.25">
      <c r="D43" s="58"/>
      <c r="E43" s="77"/>
      <c r="F43" s="31"/>
    </row>
    <row r="44" spans="1:6" x14ac:dyDescent="0.25">
      <c r="A44" s="55" t="s">
        <v>110</v>
      </c>
      <c r="B44" s="55"/>
      <c r="C44" s="55"/>
      <c r="D44" s="62"/>
      <c r="E44" s="63">
        <f>E39-E41-E42</f>
        <v>30772.552799999998</v>
      </c>
      <c r="F44" s="62"/>
    </row>
  </sheetData>
  <mergeCells count="4">
    <mergeCell ref="B11:E11"/>
    <mergeCell ref="B12:E12"/>
    <mergeCell ref="B13:E13"/>
    <mergeCell ref="B14:E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showGridLines="0" tabSelected="1" topLeftCell="A161" zoomScale="210" zoomScaleNormal="210" workbookViewId="0">
      <selection activeCell="B170" sqref="B170"/>
    </sheetView>
  </sheetViews>
  <sheetFormatPr defaultRowHeight="15" x14ac:dyDescent="0.25"/>
  <cols>
    <col min="1" max="1" width="51.28515625" customWidth="1"/>
    <col min="2" max="2" width="11.5703125" style="235" bestFit="1" customWidth="1"/>
  </cols>
  <sheetData>
    <row r="1" spans="1:3" s="15" customFormat="1" ht="15.75" x14ac:dyDescent="0.25">
      <c r="A1" s="440" t="s">
        <v>27</v>
      </c>
      <c r="B1" s="440"/>
    </row>
    <row r="2" spans="1:3" s="15" customFormat="1" x14ac:dyDescent="0.25">
      <c r="B2" s="235"/>
    </row>
    <row r="3" spans="1:3" s="15" customFormat="1" x14ac:dyDescent="0.25">
      <c r="A3" s="16" t="s">
        <v>624</v>
      </c>
      <c r="B3" s="235"/>
    </row>
    <row r="4" spans="1:3" s="15" customFormat="1" x14ac:dyDescent="0.25">
      <c r="A4" s="16"/>
      <c r="B4" s="235"/>
    </row>
    <row r="5" spans="1:3" x14ac:dyDescent="0.25">
      <c r="A5" s="15" t="s">
        <v>23</v>
      </c>
      <c r="B5" s="354">
        <f>'EST x2 Chocolate'!E26</f>
        <v>6200.7055003568767</v>
      </c>
    </row>
    <row r="6" spans="1:3" x14ac:dyDescent="0.25">
      <c r="A6" s="15" t="s">
        <v>24</v>
      </c>
      <c r="B6" s="356">
        <f>-'EST x2 Chocolate'!E25</f>
        <v>1462</v>
      </c>
    </row>
    <row r="7" spans="1:3" s="15" customFormat="1" x14ac:dyDescent="0.25">
      <c r="A7" s="15" t="s">
        <v>25</v>
      </c>
      <c r="B7" s="235">
        <f>'EST x2 Chocolate'!E23+'EST x2 Chocolate'!E24</f>
        <v>350</v>
      </c>
    </row>
    <row r="8" spans="1:3" s="211" customFormat="1" x14ac:dyDescent="0.25">
      <c r="A8" s="210" t="s">
        <v>26</v>
      </c>
      <c r="B8" s="236">
        <f>'EST x2 Chocolate'!E20</f>
        <v>8400</v>
      </c>
      <c r="C8" s="217"/>
    </row>
    <row r="9" spans="1:3" s="211" customFormat="1" x14ac:dyDescent="0.25">
      <c r="A9" s="210" t="s">
        <v>323</v>
      </c>
      <c r="B9" s="236">
        <f>'EST x2 Chocolate'!E21</f>
        <v>1087.2944996431233</v>
      </c>
    </row>
    <row r="10" spans="1:3" s="15" customFormat="1" x14ac:dyDescent="0.25">
      <c r="B10" s="235"/>
    </row>
    <row r="11" spans="1:3" s="15" customFormat="1" x14ac:dyDescent="0.25">
      <c r="A11" s="17" t="s">
        <v>625</v>
      </c>
      <c r="B11" s="235"/>
    </row>
    <row r="12" spans="1:3" s="15" customFormat="1" x14ac:dyDescent="0.25">
      <c r="A12" s="15" t="s">
        <v>28</v>
      </c>
      <c r="B12" s="235">
        <f>B9</f>
        <v>1087.2944996431233</v>
      </c>
    </row>
    <row r="13" spans="1:3" s="15" customFormat="1" x14ac:dyDescent="0.25">
      <c r="A13" s="15" t="s">
        <v>29</v>
      </c>
      <c r="B13" s="235">
        <f>B12</f>
        <v>1087.2944996431233</v>
      </c>
    </row>
    <row r="14" spans="1:3" s="15" customFormat="1" x14ac:dyDescent="0.25">
      <c r="B14" s="235"/>
    </row>
    <row r="15" spans="1:3" s="15" customFormat="1" x14ac:dyDescent="0.25">
      <c r="A15" s="17" t="s">
        <v>626</v>
      </c>
      <c r="B15" s="235"/>
    </row>
    <row r="16" spans="1:3" s="15" customFormat="1" x14ac:dyDescent="0.25">
      <c r="A16" s="15" t="s">
        <v>30</v>
      </c>
      <c r="B16" s="235">
        <f>B8</f>
        <v>8400</v>
      </c>
    </row>
    <row r="17" spans="1:2" x14ac:dyDescent="0.25">
      <c r="A17" s="15" t="s">
        <v>25</v>
      </c>
      <c r="B17" s="235">
        <f>B16</f>
        <v>8400</v>
      </c>
    </row>
    <row r="18" spans="1:2" s="15" customFormat="1" x14ac:dyDescent="0.25">
      <c r="B18" s="235"/>
    </row>
    <row r="19" spans="1:2" x14ac:dyDescent="0.25">
      <c r="A19" s="16" t="s">
        <v>627</v>
      </c>
    </row>
    <row r="21" spans="1:2" x14ac:dyDescent="0.25">
      <c r="A21" s="15" t="s">
        <v>628</v>
      </c>
      <c r="B21" s="235">
        <f>500*150</f>
        <v>75000</v>
      </c>
    </row>
    <row r="22" spans="1:2" x14ac:dyDescent="0.25">
      <c r="A22" s="15" t="s">
        <v>629</v>
      </c>
      <c r="B22" s="235">
        <f>B21/1.025^7</f>
        <v>63094.892631256436</v>
      </c>
    </row>
    <row r="24" spans="1:2" s="15" customFormat="1" x14ac:dyDescent="0.25">
      <c r="A24" s="17" t="s">
        <v>630</v>
      </c>
      <c r="B24" s="235"/>
    </row>
    <row r="25" spans="1:2" x14ac:dyDescent="0.25">
      <c r="A25" s="210" t="s">
        <v>631</v>
      </c>
      <c r="B25" s="236">
        <f>B21</f>
        <v>75000</v>
      </c>
    </row>
    <row r="26" spans="1:2" x14ac:dyDescent="0.25">
      <c r="A26" s="210" t="s">
        <v>324</v>
      </c>
      <c r="B26" s="236">
        <f>B25-B27</f>
        <v>11905.107368743564</v>
      </c>
    </row>
    <row r="27" spans="1:2" x14ac:dyDescent="0.25">
      <c r="A27" s="15" t="s">
        <v>632</v>
      </c>
      <c r="B27" s="235">
        <f>B22</f>
        <v>63094.892631256436</v>
      </c>
    </row>
    <row r="29" spans="1:2" s="15" customFormat="1" x14ac:dyDescent="0.25">
      <c r="A29" s="17" t="s">
        <v>36</v>
      </c>
      <c r="B29" s="235"/>
    </row>
    <row r="30" spans="1:2" x14ac:dyDescent="0.25">
      <c r="A30" s="15" t="s">
        <v>633</v>
      </c>
      <c r="B30" s="235">
        <f>B25*0.17</f>
        <v>12750.000000000002</v>
      </c>
    </row>
    <row r="31" spans="1:2" x14ac:dyDescent="0.25">
      <c r="A31" s="15" t="s">
        <v>35</v>
      </c>
      <c r="B31" s="235">
        <f>B30</f>
        <v>12750.000000000002</v>
      </c>
    </row>
    <row r="33" spans="1:2" s="17" customFormat="1" x14ac:dyDescent="0.25">
      <c r="A33" s="17" t="s">
        <v>39</v>
      </c>
      <c r="B33" s="237"/>
    </row>
    <row r="34" spans="1:2" x14ac:dyDescent="0.25">
      <c r="A34" s="15" t="s">
        <v>37</v>
      </c>
      <c r="B34" s="358">
        <f>'EST x2 Chocolate'!G10</f>
        <v>4479.6370002379172</v>
      </c>
    </row>
    <row r="35" spans="1:2" x14ac:dyDescent="0.25">
      <c r="A35" s="15" t="s">
        <v>38</v>
      </c>
      <c r="B35" s="235">
        <f>B34</f>
        <v>4479.6370002379172</v>
      </c>
    </row>
    <row r="37" spans="1:2" x14ac:dyDescent="0.25">
      <c r="A37" s="17" t="s">
        <v>635</v>
      </c>
    </row>
    <row r="38" spans="1:2" x14ac:dyDescent="0.25">
      <c r="A38" s="15" t="s">
        <v>40</v>
      </c>
      <c r="B38" s="235">
        <f>B26</f>
        <v>11905.107368743564</v>
      </c>
    </row>
    <row r="39" spans="1:2" x14ac:dyDescent="0.25">
      <c r="A39" s="15" t="s">
        <v>41</v>
      </c>
      <c r="B39" s="235">
        <f>B38</f>
        <v>11905.107368743564</v>
      </c>
    </row>
    <row r="41" spans="1:2" x14ac:dyDescent="0.25">
      <c r="A41" s="17" t="s">
        <v>634</v>
      </c>
    </row>
    <row r="42" spans="1:2" x14ac:dyDescent="0.25">
      <c r="A42" s="15" t="s">
        <v>42</v>
      </c>
      <c r="B42" s="235">
        <f>B25</f>
        <v>75000</v>
      </c>
    </row>
    <row r="43" spans="1:2" x14ac:dyDescent="0.25">
      <c r="A43" s="15" t="s">
        <v>43</v>
      </c>
      <c r="B43" s="235">
        <f>B42</f>
        <v>75000</v>
      </c>
    </row>
    <row r="45" spans="1:2" x14ac:dyDescent="0.25">
      <c r="A45" s="16" t="s">
        <v>44</v>
      </c>
    </row>
    <row r="46" spans="1:2" s="15" customFormat="1" x14ac:dyDescent="0.25">
      <c r="A46" s="16"/>
      <c r="B46" s="235"/>
    </row>
    <row r="47" spans="1:2" s="15" customFormat="1" x14ac:dyDescent="0.25">
      <c r="A47" s="17" t="s">
        <v>636</v>
      </c>
      <c r="B47" s="235"/>
    </row>
    <row r="49" spans="1:2" x14ac:dyDescent="0.25">
      <c r="A49" s="15" t="s">
        <v>45</v>
      </c>
      <c r="B49" s="235">
        <v>2000</v>
      </c>
    </row>
    <row r="50" spans="1:2" x14ac:dyDescent="0.25">
      <c r="A50" s="15" t="s">
        <v>25</v>
      </c>
      <c r="B50" s="235">
        <f>B49</f>
        <v>2000</v>
      </c>
    </row>
    <row r="52" spans="1:2" s="15" customFormat="1" x14ac:dyDescent="0.25">
      <c r="A52" s="15" t="s">
        <v>46</v>
      </c>
      <c r="B52" s="235">
        <v>6500</v>
      </c>
    </row>
    <row r="53" spans="1:2" s="15" customFormat="1" x14ac:dyDescent="0.25">
      <c r="A53" s="15" t="s">
        <v>25</v>
      </c>
      <c r="B53" s="235">
        <f>B52</f>
        <v>6500</v>
      </c>
    </row>
    <row r="55" spans="1:2" x14ac:dyDescent="0.25">
      <c r="A55" s="17" t="s">
        <v>637</v>
      </c>
    </row>
    <row r="57" spans="1:2" x14ac:dyDescent="0.25">
      <c r="A57" s="15" t="s">
        <v>79</v>
      </c>
      <c r="B57" s="235">
        <f>'EST Sup. Resmas'!G10</f>
        <v>1800</v>
      </c>
    </row>
    <row r="58" spans="1:2" x14ac:dyDescent="0.25">
      <c r="A58" s="15" t="s">
        <v>80</v>
      </c>
      <c r="B58" s="235">
        <f>B57</f>
        <v>1800</v>
      </c>
    </row>
    <row r="60" spans="1:2" s="15" customFormat="1" x14ac:dyDescent="0.25">
      <c r="A60" s="15" t="s">
        <v>81</v>
      </c>
      <c r="B60" s="235">
        <f>'EST Sup.Tonner'!G10</f>
        <v>5070</v>
      </c>
    </row>
    <row r="61" spans="1:2" s="15" customFormat="1" x14ac:dyDescent="0.25">
      <c r="A61" s="15" t="s">
        <v>82</v>
      </c>
      <c r="B61" s="235">
        <f>B60</f>
        <v>5070</v>
      </c>
    </row>
    <row r="63" spans="1:2" x14ac:dyDescent="0.25">
      <c r="A63" s="15" t="s">
        <v>47</v>
      </c>
    </row>
    <row r="65" spans="1:3" x14ac:dyDescent="0.25">
      <c r="A65" s="15" t="s">
        <v>48</v>
      </c>
      <c r="B65" s="235">
        <f>'EST Sup. Resmas'!F14</f>
        <v>80</v>
      </c>
    </row>
    <row r="66" spans="1:3" x14ac:dyDescent="0.25">
      <c r="A66" s="15" t="s">
        <v>319</v>
      </c>
      <c r="B66" s="235">
        <f>B65</f>
        <v>80</v>
      </c>
    </row>
    <row r="68" spans="1:3" s="15" customFormat="1" x14ac:dyDescent="0.25">
      <c r="A68" s="15" t="s">
        <v>49</v>
      </c>
      <c r="B68" s="235">
        <f>'EST Sup.Tonner'!F14</f>
        <v>220</v>
      </c>
    </row>
    <row r="69" spans="1:3" s="15" customFormat="1" x14ac:dyDescent="0.25">
      <c r="A69" s="15" t="s">
        <v>82</v>
      </c>
      <c r="B69" s="235">
        <f>B68</f>
        <v>220</v>
      </c>
    </row>
    <row r="71" spans="1:3" x14ac:dyDescent="0.25">
      <c r="A71" s="16" t="s">
        <v>640</v>
      </c>
    </row>
    <row r="72" spans="1:3" x14ac:dyDescent="0.25">
      <c r="A72" s="16"/>
    </row>
    <row r="73" spans="1:3" x14ac:dyDescent="0.25">
      <c r="A73" s="15" t="s">
        <v>638</v>
      </c>
      <c r="B73" s="361">
        <f>'EST x2 Chocolate'!J26</f>
        <v>2581.6960138243494</v>
      </c>
    </row>
    <row r="74" spans="1:3" x14ac:dyDescent="0.25">
      <c r="A74" s="15" t="s">
        <v>24</v>
      </c>
      <c r="B74" s="235">
        <f>-'EST x2 Chocolate'!J25</f>
        <v>697</v>
      </c>
    </row>
    <row r="75" spans="1:3" x14ac:dyDescent="0.25">
      <c r="A75" s="15" t="s">
        <v>25</v>
      </c>
      <c r="B75" s="235">
        <v>200</v>
      </c>
    </row>
    <row r="76" spans="1:3" x14ac:dyDescent="0.25">
      <c r="A76" s="15" t="s">
        <v>26</v>
      </c>
      <c r="B76" s="235">
        <f>'EST x2 Chocolate'!J20</f>
        <v>3900</v>
      </c>
    </row>
    <row r="77" spans="1:3" x14ac:dyDescent="0.25">
      <c r="A77" s="15" t="s">
        <v>323</v>
      </c>
      <c r="B77" s="235">
        <f>'EST x2 Chocolate'!J21</f>
        <v>821.30398617565061</v>
      </c>
      <c r="C77" s="241"/>
    </row>
    <row r="78" spans="1:3" x14ac:dyDescent="0.25">
      <c r="A78" s="15"/>
    </row>
    <row r="79" spans="1:3" x14ac:dyDescent="0.25">
      <c r="A79" s="17" t="s">
        <v>641</v>
      </c>
    </row>
    <row r="80" spans="1:3" x14ac:dyDescent="0.25">
      <c r="A80" s="15" t="s">
        <v>28</v>
      </c>
      <c r="B80" s="235">
        <f>'EST x2 Chocolate'!C44</f>
        <v>597.42803179729253</v>
      </c>
      <c r="C80" s="18"/>
    </row>
    <row r="81" spans="1:2" x14ac:dyDescent="0.25">
      <c r="A81" s="15" t="s">
        <v>29</v>
      </c>
      <c r="B81" s="235">
        <f>B80</f>
        <v>597.42803179729253</v>
      </c>
    </row>
    <row r="82" spans="1:2" x14ac:dyDescent="0.25">
      <c r="A82" s="15"/>
    </row>
    <row r="83" spans="1:2" x14ac:dyDescent="0.25">
      <c r="A83" s="16" t="s">
        <v>642</v>
      </c>
    </row>
    <row r="84" spans="1:2" x14ac:dyDescent="0.25">
      <c r="A84" s="15"/>
    </row>
    <row r="85" spans="1:2" x14ac:dyDescent="0.25">
      <c r="A85" s="15" t="s">
        <v>628</v>
      </c>
      <c r="B85" s="235">
        <f>250*175</f>
        <v>43750</v>
      </c>
    </row>
    <row r="86" spans="1:2" x14ac:dyDescent="0.25">
      <c r="A86" s="15" t="s">
        <v>629</v>
      </c>
      <c r="B86" s="235">
        <f>B85/1.025^9</f>
        <v>35031.865827388072</v>
      </c>
    </row>
    <row r="87" spans="1:2" x14ac:dyDescent="0.25">
      <c r="A87" s="15"/>
    </row>
    <row r="88" spans="1:2" x14ac:dyDescent="0.25">
      <c r="A88" s="17" t="s">
        <v>643</v>
      </c>
    </row>
    <row r="89" spans="1:2" x14ac:dyDescent="0.25">
      <c r="A89" s="15" t="s">
        <v>32</v>
      </c>
      <c r="B89" s="235">
        <f>B85</f>
        <v>43750</v>
      </c>
    </row>
    <row r="90" spans="1:2" x14ac:dyDescent="0.25">
      <c r="A90" s="15" t="s">
        <v>324</v>
      </c>
      <c r="B90" s="235">
        <f>B89-B91</f>
        <v>8718.1341726119281</v>
      </c>
    </row>
    <row r="91" spans="1:2" x14ac:dyDescent="0.25">
      <c r="A91" s="15" t="s">
        <v>33</v>
      </c>
      <c r="B91" s="235">
        <f>B86</f>
        <v>35031.865827388072</v>
      </c>
    </row>
    <row r="92" spans="1:2" x14ac:dyDescent="0.25">
      <c r="A92" s="15"/>
    </row>
    <row r="93" spans="1:2" x14ac:dyDescent="0.25">
      <c r="A93" s="17" t="s">
        <v>36</v>
      </c>
    </row>
    <row r="94" spans="1:2" x14ac:dyDescent="0.25">
      <c r="A94" s="15" t="s">
        <v>34</v>
      </c>
      <c r="B94" s="235">
        <f>B85*0.17</f>
        <v>7437.5000000000009</v>
      </c>
    </row>
    <row r="95" spans="1:2" x14ac:dyDescent="0.25">
      <c r="A95" s="15" t="s">
        <v>35</v>
      </c>
      <c r="B95" s="235">
        <f>B94</f>
        <v>7437.5000000000009</v>
      </c>
    </row>
    <row r="96" spans="1:2" x14ac:dyDescent="0.25">
      <c r="A96" s="15"/>
    </row>
    <row r="97" spans="1:2" x14ac:dyDescent="0.25">
      <c r="A97" s="17" t="s">
        <v>39</v>
      </c>
      <c r="B97" s="237"/>
    </row>
    <row r="98" spans="1:2" x14ac:dyDescent="0.25">
      <c r="A98" s="15" t="s">
        <v>37</v>
      </c>
      <c r="B98" s="235">
        <f>'EST x2 Chocolate'!G12</f>
        <v>2191.5975063378678</v>
      </c>
    </row>
    <row r="99" spans="1:2" x14ac:dyDescent="0.25">
      <c r="A99" s="15" t="s">
        <v>38</v>
      </c>
      <c r="B99" s="235">
        <f>B98</f>
        <v>2191.5975063378678</v>
      </c>
    </row>
    <row r="100" spans="1:2" s="15" customFormat="1" x14ac:dyDescent="0.25">
      <c r="B100" s="235"/>
    </row>
    <row r="101" spans="1:2" s="15" customFormat="1" x14ac:dyDescent="0.25">
      <c r="A101" s="17" t="s">
        <v>50</v>
      </c>
      <c r="B101" s="235"/>
    </row>
    <row r="102" spans="1:2" s="15" customFormat="1" x14ac:dyDescent="0.25">
      <c r="A102" s="15" t="s">
        <v>51</v>
      </c>
      <c r="B102" s="235">
        <v>300</v>
      </c>
    </row>
    <row r="103" spans="1:2" s="15" customFormat="1" x14ac:dyDescent="0.25">
      <c r="A103" s="15" t="s">
        <v>25</v>
      </c>
      <c r="B103" s="235">
        <f>B102</f>
        <v>300</v>
      </c>
    </row>
    <row r="104" spans="1:2" x14ac:dyDescent="0.25">
      <c r="A104" s="15"/>
    </row>
    <row r="105" spans="1:2" x14ac:dyDescent="0.25">
      <c r="A105" s="17" t="s">
        <v>644</v>
      </c>
    </row>
    <row r="106" spans="1:2" x14ac:dyDescent="0.25">
      <c r="A106" s="15" t="s">
        <v>40</v>
      </c>
      <c r="B106" s="235">
        <f>B111-B91</f>
        <v>4603.4748826012074</v>
      </c>
    </row>
    <row r="107" spans="1:2" x14ac:dyDescent="0.25">
      <c r="A107" s="15" t="s">
        <v>41</v>
      </c>
      <c r="B107" s="235">
        <f>B106</f>
        <v>4603.4748826012074</v>
      </c>
    </row>
    <row r="108" spans="1:2" x14ac:dyDescent="0.25">
      <c r="A108" s="15"/>
    </row>
    <row r="109" spans="1:2" s="15" customFormat="1" x14ac:dyDescent="0.25">
      <c r="A109" s="15" t="s">
        <v>327</v>
      </c>
      <c r="B109" s="235"/>
    </row>
    <row r="110" spans="1:2" s="15" customFormat="1" x14ac:dyDescent="0.25">
      <c r="A110" s="15" t="s">
        <v>328</v>
      </c>
      <c r="B110" s="235">
        <f>B91</f>
        <v>35031.865827388072</v>
      </c>
    </row>
    <row r="111" spans="1:2" s="15" customFormat="1" x14ac:dyDescent="0.25">
      <c r="A111" s="15" t="s">
        <v>329</v>
      </c>
      <c r="B111" s="235">
        <f>B86*1.025^5</f>
        <v>39635.340709989279</v>
      </c>
    </row>
    <row r="112" spans="1:2" s="15" customFormat="1" x14ac:dyDescent="0.25">
      <c r="A112" s="15" t="s">
        <v>330</v>
      </c>
      <c r="B112" s="235">
        <f>B111-B110</f>
        <v>4603.4748826012074</v>
      </c>
    </row>
    <row r="113" spans="1:2" s="15" customFormat="1" x14ac:dyDescent="0.25">
      <c r="B113" s="235"/>
    </row>
    <row r="114" spans="1:2" x14ac:dyDescent="0.25">
      <c r="A114" s="16" t="s">
        <v>645</v>
      </c>
    </row>
    <row r="115" spans="1:2" x14ac:dyDescent="0.25">
      <c r="A115" s="15"/>
    </row>
    <row r="116" spans="1:2" x14ac:dyDescent="0.25">
      <c r="A116" s="15" t="s">
        <v>52</v>
      </c>
      <c r="B116" s="235">
        <v>1200</v>
      </c>
    </row>
    <row r="117" spans="1:2" x14ac:dyDescent="0.25">
      <c r="A117" s="15" t="s">
        <v>53</v>
      </c>
      <c r="B117" s="235">
        <v>1200</v>
      </c>
    </row>
    <row r="118" spans="1:2" s="15" customFormat="1" x14ac:dyDescent="0.25">
      <c r="B118" s="235"/>
    </row>
    <row r="119" spans="1:2" s="15" customFormat="1" x14ac:dyDescent="0.25">
      <c r="A119" s="15" t="s">
        <v>521</v>
      </c>
      <c r="B119" s="235">
        <f>100*12</f>
        <v>1200</v>
      </c>
    </row>
    <row r="121" spans="1:2" x14ac:dyDescent="0.25">
      <c r="A121" s="16" t="s">
        <v>649</v>
      </c>
    </row>
    <row r="123" spans="1:2" x14ac:dyDescent="0.25">
      <c r="A123" s="15" t="s">
        <v>55</v>
      </c>
      <c r="B123" s="235">
        <f>'Ações '!D3</f>
        <v>1500</v>
      </c>
    </row>
    <row r="124" spans="1:2" x14ac:dyDescent="0.25">
      <c r="A124" s="15" t="s">
        <v>25</v>
      </c>
      <c r="B124" s="235">
        <f>B123</f>
        <v>1500</v>
      </c>
    </row>
    <row r="126" spans="1:2" x14ac:dyDescent="0.25">
      <c r="A126" s="15" t="s">
        <v>56</v>
      </c>
      <c r="B126" s="235">
        <f>'Ações '!D4</f>
        <v>2600</v>
      </c>
    </row>
    <row r="127" spans="1:2" x14ac:dyDescent="0.25">
      <c r="A127" s="15" t="s">
        <v>25</v>
      </c>
      <c r="B127" s="235">
        <f>B126</f>
        <v>2600</v>
      </c>
    </row>
    <row r="129" spans="1:9" x14ac:dyDescent="0.25">
      <c r="A129" s="15" t="s">
        <v>57</v>
      </c>
      <c r="B129" s="235">
        <f>'Ações '!D5</f>
        <v>8000</v>
      </c>
    </row>
    <row r="130" spans="1:9" x14ac:dyDescent="0.25">
      <c r="A130" s="15" t="s">
        <v>25</v>
      </c>
      <c r="B130" s="235">
        <f>B129</f>
        <v>8000</v>
      </c>
    </row>
    <row r="132" spans="1:9" x14ac:dyDescent="0.25">
      <c r="A132" s="19" t="s">
        <v>61</v>
      </c>
    </row>
    <row r="133" spans="1:9" x14ac:dyDescent="0.25">
      <c r="A133" s="15" t="s">
        <v>55</v>
      </c>
      <c r="B133" s="366">
        <f>'Ações '!E9</f>
        <v>300</v>
      </c>
      <c r="G133" s="241"/>
      <c r="H133" s="241"/>
    </row>
    <row r="134" spans="1:9" x14ac:dyDescent="0.25">
      <c r="A134" s="15" t="s">
        <v>58</v>
      </c>
      <c r="B134" s="235">
        <f>B133</f>
        <v>300</v>
      </c>
      <c r="G134" s="241"/>
    </row>
    <row r="136" spans="1:9" x14ac:dyDescent="0.25">
      <c r="A136" s="15" t="s">
        <v>59</v>
      </c>
      <c r="B136" s="366">
        <f>-'Ações '!E10</f>
        <v>600</v>
      </c>
      <c r="D136" s="15"/>
      <c r="G136" s="241"/>
      <c r="H136" s="241"/>
      <c r="I136" s="241"/>
    </row>
    <row r="137" spans="1:9" x14ac:dyDescent="0.25">
      <c r="A137" s="15" t="s">
        <v>60</v>
      </c>
      <c r="B137" s="235">
        <f>B136</f>
        <v>600</v>
      </c>
      <c r="D137" s="15"/>
    </row>
    <row r="139" spans="1:9" x14ac:dyDescent="0.25">
      <c r="A139" s="15" t="s">
        <v>57</v>
      </c>
      <c r="B139" s="366">
        <f>'Ações '!E11</f>
        <v>2000</v>
      </c>
    </row>
    <row r="140" spans="1:9" x14ac:dyDescent="0.25">
      <c r="A140" s="15" t="s">
        <v>58</v>
      </c>
      <c r="B140" s="235">
        <f>B139</f>
        <v>2000</v>
      </c>
      <c r="G140" s="241"/>
      <c r="H140" s="241"/>
      <c r="I140" s="241"/>
    </row>
    <row r="141" spans="1:9" x14ac:dyDescent="0.25">
      <c r="G141" s="406"/>
    </row>
    <row r="142" spans="1:9" x14ac:dyDescent="0.25">
      <c r="A142" s="15" t="s">
        <v>42</v>
      </c>
      <c r="B142" s="235">
        <f>200*25</f>
        <v>5000</v>
      </c>
      <c r="G142" s="241"/>
    </row>
    <row r="143" spans="1:9" x14ac:dyDescent="0.25">
      <c r="A143" s="15" t="s">
        <v>65</v>
      </c>
      <c r="B143" s="235">
        <f>B142</f>
        <v>5000</v>
      </c>
    </row>
    <row r="145" spans="1:2" x14ac:dyDescent="0.25">
      <c r="A145" s="19" t="s">
        <v>62</v>
      </c>
    </row>
    <row r="147" spans="1:2" x14ac:dyDescent="0.25">
      <c r="A147" s="15" t="s">
        <v>59</v>
      </c>
      <c r="B147" s="407">
        <f>-'Ações '!E15</f>
        <v>200</v>
      </c>
    </row>
    <row r="148" spans="1:2" x14ac:dyDescent="0.25">
      <c r="A148" s="15" t="s">
        <v>63</v>
      </c>
      <c r="B148" s="235">
        <f>B147</f>
        <v>200</v>
      </c>
    </row>
    <row r="150" spans="1:2" x14ac:dyDescent="0.25">
      <c r="A150" s="15" t="s">
        <v>59</v>
      </c>
      <c r="B150" s="366">
        <f>-'Ações '!E16</f>
        <v>400</v>
      </c>
    </row>
    <row r="151" spans="1:2" x14ac:dyDescent="0.25">
      <c r="A151" s="15" t="s">
        <v>60</v>
      </c>
      <c r="B151" s="235">
        <f>B150</f>
        <v>400</v>
      </c>
    </row>
    <row r="153" spans="1:2" x14ac:dyDescent="0.25">
      <c r="A153" s="15" t="s">
        <v>42</v>
      </c>
      <c r="B153" s="366">
        <f>200*8</f>
        <v>1600</v>
      </c>
    </row>
    <row r="154" spans="1:2" x14ac:dyDescent="0.25">
      <c r="A154" s="15" t="s">
        <v>60</v>
      </c>
      <c r="B154" s="235">
        <f>B153</f>
        <v>1600</v>
      </c>
    </row>
    <row r="156" spans="1:2" x14ac:dyDescent="0.25">
      <c r="A156" s="15" t="s">
        <v>57</v>
      </c>
      <c r="B156" s="366">
        <f>'Ações '!E17</f>
        <v>200</v>
      </c>
    </row>
    <row r="157" spans="1:2" x14ac:dyDescent="0.25">
      <c r="A157" s="15" t="s">
        <v>58</v>
      </c>
      <c r="B157" s="235">
        <f>B156</f>
        <v>200</v>
      </c>
    </row>
    <row r="159" spans="1:2" x14ac:dyDescent="0.25">
      <c r="A159" s="19" t="s">
        <v>22</v>
      </c>
    </row>
    <row r="161" spans="1:2" x14ac:dyDescent="0.25">
      <c r="A161" s="15" t="s">
        <v>59</v>
      </c>
      <c r="B161" s="407">
        <f>-'Ações '!E21</f>
        <v>400</v>
      </c>
    </row>
    <row r="162" spans="1:2" x14ac:dyDescent="0.25">
      <c r="A162" s="15" t="s">
        <v>64</v>
      </c>
      <c r="B162" s="235">
        <f>B161</f>
        <v>400</v>
      </c>
    </row>
    <row r="164" spans="1:2" x14ac:dyDescent="0.25">
      <c r="A164" s="15" t="s">
        <v>57</v>
      </c>
      <c r="B164" s="366">
        <f>'Ações '!E22</f>
        <v>800</v>
      </c>
    </row>
    <row r="165" spans="1:2" x14ac:dyDescent="0.25">
      <c r="A165" s="15" t="s">
        <v>58</v>
      </c>
      <c r="B165" s="235">
        <f>B164</f>
        <v>800</v>
      </c>
    </row>
    <row r="167" spans="1:2" s="211" customFormat="1" x14ac:dyDescent="0.25">
      <c r="A167" s="211" t="s">
        <v>331</v>
      </c>
      <c r="B167" s="238">
        <f>'Ações '!D26</f>
        <v>7500</v>
      </c>
    </row>
    <row r="168" spans="1:2" s="211" customFormat="1" x14ac:dyDescent="0.25">
      <c r="A168" s="211" t="s">
        <v>25</v>
      </c>
      <c r="B168" s="238">
        <f>B167</f>
        <v>7500</v>
      </c>
    </row>
    <row r="170" spans="1:2" s="211" customFormat="1" x14ac:dyDescent="0.25">
      <c r="A170" s="211" t="s">
        <v>331</v>
      </c>
      <c r="B170" s="238">
        <f>'Ações '!E29</f>
        <v>1000</v>
      </c>
    </row>
    <row r="171" spans="1:2" s="211" customFormat="1" x14ac:dyDescent="0.25">
      <c r="A171" s="211" t="s">
        <v>333</v>
      </c>
      <c r="B171" s="238">
        <f>B170</f>
        <v>1000</v>
      </c>
    </row>
    <row r="173" spans="1:2" x14ac:dyDescent="0.25">
      <c r="A173" s="16" t="s">
        <v>85</v>
      </c>
    </row>
    <row r="175" spans="1:2" x14ac:dyDescent="0.25">
      <c r="A175" s="15" t="s">
        <v>84</v>
      </c>
      <c r="B175" s="235">
        <f>'Adiantamentos a funcionários'!B2</f>
        <v>5000</v>
      </c>
    </row>
    <row r="176" spans="1:2" x14ac:dyDescent="0.25">
      <c r="A176" s="15" t="s">
        <v>25</v>
      </c>
      <c r="B176" s="235">
        <f>B175</f>
        <v>5000</v>
      </c>
    </row>
    <row r="178" spans="1:2" s="15" customFormat="1" x14ac:dyDescent="0.25">
      <c r="A178" s="15" t="s">
        <v>66</v>
      </c>
      <c r="B178" s="235">
        <f>'Adiantamentos a funcionários'!B3</f>
        <v>2000</v>
      </c>
    </row>
    <row r="179" spans="1:2" s="15" customFormat="1" x14ac:dyDescent="0.25">
      <c r="A179" s="15" t="s">
        <v>25</v>
      </c>
      <c r="B179" s="235">
        <f>B178</f>
        <v>2000</v>
      </c>
    </row>
    <row r="181" spans="1:2" s="15" customFormat="1" x14ac:dyDescent="0.25">
      <c r="A181" s="15" t="s">
        <v>67</v>
      </c>
      <c r="B181" s="235">
        <f>'Adiantamentos a funcionários'!B4</f>
        <v>1500</v>
      </c>
    </row>
    <row r="182" spans="1:2" s="15" customFormat="1" x14ac:dyDescent="0.25">
      <c r="A182" s="15" t="s">
        <v>25</v>
      </c>
      <c r="B182" s="235">
        <f>B181</f>
        <v>1500</v>
      </c>
    </row>
    <row r="185" spans="1:2" x14ac:dyDescent="0.25">
      <c r="A185" s="16" t="s">
        <v>68</v>
      </c>
    </row>
    <row r="187" spans="1:2" x14ac:dyDescent="0.25">
      <c r="A187" s="15" t="s">
        <v>344</v>
      </c>
      <c r="B187" s="235">
        <f>'Controle do Imobilizado 2013'!B11</f>
        <v>9166.6666666666679</v>
      </c>
    </row>
    <row r="188" spans="1:2" x14ac:dyDescent="0.25">
      <c r="A188" s="15" t="s">
        <v>70</v>
      </c>
      <c r="B188" s="235">
        <f>B187</f>
        <v>9166.6666666666679</v>
      </c>
    </row>
    <row r="190" spans="1:2" x14ac:dyDescent="0.25">
      <c r="A190" s="15" t="s">
        <v>71</v>
      </c>
      <c r="B190" s="235">
        <f>'Controle do Imobilizado 2013'!B13</f>
        <v>19166.666666666668</v>
      </c>
    </row>
    <row r="191" spans="1:2" x14ac:dyDescent="0.25">
      <c r="A191" s="15" t="s">
        <v>72</v>
      </c>
      <c r="B191" s="235">
        <f>B190</f>
        <v>19166.666666666668</v>
      </c>
    </row>
    <row r="193" spans="1:2" x14ac:dyDescent="0.25">
      <c r="A193" s="15" t="s">
        <v>91</v>
      </c>
      <c r="B193" s="235">
        <f>'Controle do Imobilizado 2013'!B15</f>
        <v>30833.333333333332</v>
      </c>
    </row>
    <row r="194" spans="1:2" x14ac:dyDescent="0.25">
      <c r="A194" s="15" t="s">
        <v>72</v>
      </c>
      <c r="B194" s="235">
        <f>B193</f>
        <v>30833.333333333332</v>
      </c>
    </row>
    <row r="196" spans="1:2" x14ac:dyDescent="0.25">
      <c r="A196" s="16" t="s">
        <v>73</v>
      </c>
    </row>
    <row r="198" spans="1:2" x14ac:dyDescent="0.25">
      <c r="A198" s="15" t="s">
        <v>74</v>
      </c>
      <c r="B198" s="235">
        <v>33000</v>
      </c>
    </row>
    <row r="199" spans="1:2" x14ac:dyDescent="0.25">
      <c r="A199" s="15" t="s">
        <v>25</v>
      </c>
      <c r="B199" s="235">
        <f>B198</f>
        <v>33000</v>
      </c>
    </row>
    <row r="201" spans="1:2" x14ac:dyDescent="0.25">
      <c r="A201" s="16" t="s">
        <v>75</v>
      </c>
    </row>
    <row r="203" spans="1:2" x14ac:dyDescent="0.25">
      <c r="A203" s="15" t="s">
        <v>345</v>
      </c>
      <c r="B203" s="366">
        <f>'[3]Lanç x1'!$E$91-'[3]Lanç x1'!$E$106</f>
        <v>637.25490196077953</v>
      </c>
    </row>
    <row r="204" spans="1:2" x14ac:dyDescent="0.25">
      <c r="A204" s="15" t="s">
        <v>29</v>
      </c>
      <c r="B204" s="235">
        <f>B203</f>
        <v>637.25490196077953</v>
      </c>
    </row>
    <row r="206" spans="1:2" x14ac:dyDescent="0.25">
      <c r="A206" s="15" t="s">
        <v>346</v>
      </c>
      <c r="B206" s="235">
        <v>32500</v>
      </c>
    </row>
    <row r="207" spans="1:2" x14ac:dyDescent="0.25">
      <c r="A207" s="15" t="s">
        <v>347</v>
      </c>
      <c r="B207" s="235">
        <f>B206</f>
        <v>32500</v>
      </c>
    </row>
    <row r="209" spans="1:2" x14ac:dyDescent="0.25">
      <c r="A209" s="16" t="s">
        <v>76</v>
      </c>
    </row>
    <row r="211" spans="1:2" x14ac:dyDescent="0.25">
      <c r="A211" s="15" t="s">
        <v>69</v>
      </c>
      <c r="B211" s="235">
        <f>SUM(B212:B215)</f>
        <v>11266.666666666668</v>
      </c>
    </row>
    <row r="212" spans="1:2" x14ac:dyDescent="0.25">
      <c r="A212" s="15" t="s">
        <v>77</v>
      </c>
      <c r="B212" s="235">
        <f>'Controle do Imobilizado 2013'!D3</f>
        <v>1600</v>
      </c>
    </row>
    <row r="213" spans="1:2" x14ac:dyDescent="0.25">
      <c r="A213" s="15" t="s">
        <v>348</v>
      </c>
      <c r="B213" s="235">
        <f>'Controle do Imobilizado 2013'!D4</f>
        <v>6666.666666666667</v>
      </c>
    </row>
    <row r="214" spans="1:2" s="15" customFormat="1" x14ac:dyDescent="0.25">
      <c r="A214" s="15" t="s">
        <v>349</v>
      </c>
      <c r="B214" s="235">
        <f>'Controle do Imobilizado 2013'!D5</f>
        <v>2000</v>
      </c>
    </row>
    <row r="215" spans="1:2" s="15" customFormat="1" x14ac:dyDescent="0.25">
      <c r="A215" s="15" t="s">
        <v>350</v>
      </c>
      <c r="B215" s="235">
        <f>'Controle do Imobilizado 2013'!D7</f>
        <v>1000</v>
      </c>
    </row>
    <row r="217" spans="1:2" x14ac:dyDescent="0.25">
      <c r="A217" s="16" t="s">
        <v>78</v>
      </c>
    </row>
    <row r="219" spans="1:2" x14ac:dyDescent="0.25">
      <c r="A219" s="15" t="s">
        <v>351</v>
      </c>
    </row>
    <row r="220" spans="1:2" s="15" customFormat="1" x14ac:dyDescent="0.25">
      <c r="A220" s="15" t="s">
        <v>357</v>
      </c>
      <c r="B220" s="235"/>
    </row>
    <row r="222" spans="1:2" x14ac:dyDescent="0.25">
      <c r="A222" s="16" t="s">
        <v>90</v>
      </c>
    </row>
    <row r="224" spans="1:2" x14ac:dyDescent="0.25">
      <c r="A224" s="15" t="s">
        <v>86</v>
      </c>
      <c r="B224" s="235">
        <f>'BP 2013  '!U22</f>
        <v>11656</v>
      </c>
    </row>
    <row r="225" spans="1:2" x14ac:dyDescent="0.25">
      <c r="A225" s="15" t="s">
        <v>87</v>
      </c>
      <c r="B225" s="235">
        <f>'BP  2012'!M18</f>
        <v>4196</v>
      </c>
    </row>
    <row r="226" spans="1:2" x14ac:dyDescent="0.25">
      <c r="A226" s="15" t="s">
        <v>88</v>
      </c>
      <c r="B226" s="235">
        <f>'BP  2012'!M20</f>
        <v>16490</v>
      </c>
    </row>
    <row r="227" spans="1:2" x14ac:dyDescent="0.25">
      <c r="A227" s="15" t="s">
        <v>89</v>
      </c>
      <c r="B227" s="235">
        <f>'BP  2012'!M14</f>
        <v>17540</v>
      </c>
    </row>
    <row r="228" spans="1:2" x14ac:dyDescent="0.25">
      <c r="A228" s="15" t="s">
        <v>25</v>
      </c>
      <c r="B228" s="235">
        <f>SUM(B224:B227)</f>
        <v>49882</v>
      </c>
    </row>
    <row r="230" spans="1:2" s="15" customFormat="1" x14ac:dyDescent="0.25">
      <c r="A230" s="16" t="s">
        <v>364</v>
      </c>
      <c r="B230" s="235"/>
    </row>
    <row r="231" spans="1:2" s="15" customFormat="1" x14ac:dyDescent="0.25">
      <c r="B231" s="235"/>
    </row>
    <row r="232" spans="1:2" s="15" customFormat="1" x14ac:dyDescent="0.25">
      <c r="A232" s="15" t="s">
        <v>363</v>
      </c>
      <c r="B232" s="235">
        <f>B6+B74</f>
        <v>2159</v>
      </c>
    </row>
    <row r="233" spans="1:2" s="15" customFormat="1" x14ac:dyDescent="0.25">
      <c r="A233" s="15" t="s">
        <v>362</v>
      </c>
      <c r="B233" s="235">
        <f>B232</f>
        <v>2159</v>
      </c>
    </row>
    <row r="234" spans="1:2" s="15" customFormat="1" x14ac:dyDescent="0.25">
      <c r="B234" s="235"/>
    </row>
    <row r="235" spans="1:2" x14ac:dyDescent="0.25">
      <c r="A235" s="16" t="s">
        <v>365</v>
      </c>
    </row>
    <row r="237" spans="1:2" x14ac:dyDescent="0.25">
      <c r="A237" s="15"/>
    </row>
    <row r="238" spans="1:2" x14ac:dyDescent="0.25">
      <c r="A238" s="15" t="s">
        <v>92</v>
      </c>
      <c r="B238" s="235">
        <f>'DRE 2013'!F6</f>
        <v>20187.500000000004</v>
      </c>
    </row>
    <row r="239" spans="1:2" x14ac:dyDescent="0.25">
      <c r="A239" s="15" t="s">
        <v>94</v>
      </c>
      <c r="B239" s="235">
        <f>B57</f>
        <v>1800</v>
      </c>
    </row>
    <row r="240" spans="1:2" x14ac:dyDescent="0.25">
      <c r="A240" s="15" t="s">
        <v>93</v>
      </c>
      <c r="B240" s="235">
        <f>B60</f>
        <v>5070</v>
      </c>
    </row>
    <row r="241" spans="1:3" x14ac:dyDescent="0.25">
      <c r="A241" s="15" t="s">
        <v>95</v>
      </c>
      <c r="B241" s="235">
        <f>'DRE 2013'!F22</f>
        <v>300</v>
      </c>
    </row>
    <row r="242" spans="1:3" x14ac:dyDescent="0.25">
      <c r="A242" s="15" t="s">
        <v>96</v>
      </c>
      <c r="B242" s="235">
        <f>'DRE 2013'!F26</f>
        <v>300</v>
      </c>
    </row>
    <row r="243" spans="1:3" x14ac:dyDescent="0.25">
      <c r="A243" s="15" t="s">
        <v>97</v>
      </c>
      <c r="B243" s="235">
        <f>'DRE 2013'!F25</f>
        <v>1200</v>
      </c>
    </row>
    <row r="244" spans="1:3" x14ac:dyDescent="0.25">
      <c r="A244" s="15" t="s">
        <v>98</v>
      </c>
      <c r="B244" s="235">
        <f>'DRE 2013'!F36</f>
        <v>3921.9774334011954</v>
      </c>
    </row>
    <row r="245" spans="1:3" x14ac:dyDescent="0.25">
      <c r="A245" s="15" t="s">
        <v>99</v>
      </c>
      <c r="B245" s="235">
        <f>'DRE 2013'!F27</f>
        <v>20433.333333333336</v>
      </c>
    </row>
    <row r="246" spans="1:3" x14ac:dyDescent="0.25">
      <c r="A246" s="15" t="s">
        <v>100</v>
      </c>
      <c r="B246" s="235">
        <f>33000</f>
        <v>33000</v>
      </c>
    </row>
    <row r="247" spans="1:3" x14ac:dyDescent="0.25">
      <c r="A247" s="15" t="s">
        <v>37</v>
      </c>
      <c r="B247" s="235">
        <f>'DRE 2013'!F18</f>
        <v>6671.2345065757854</v>
      </c>
    </row>
    <row r="248" spans="1:3" x14ac:dyDescent="0.25">
      <c r="A248" s="15" t="s">
        <v>101</v>
      </c>
      <c r="B248" s="235">
        <f>'DRE 2013'!F4</f>
        <v>98126.758458644501</v>
      </c>
    </row>
    <row r="249" spans="1:3" x14ac:dyDescent="0.25">
      <c r="A249" s="15" t="s">
        <v>102</v>
      </c>
      <c r="B249" s="235">
        <f>'DRE 2013'!F35</f>
        <v>19808.582251344771</v>
      </c>
      <c r="C249" s="241"/>
    </row>
    <row r="251" spans="1:3" x14ac:dyDescent="0.25">
      <c r="A251" s="15" t="s">
        <v>107</v>
      </c>
      <c r="B251" s="235">
        <f>(B248+B249)-SUM(B238:B247)</f>
        <v>25051.295436678964</v>
      </c>
    </row>
    <row r="252" spans="1:3" x14ac:dyDescent="0.25">
      <c r="A252" s="15"/>
    </row>
    <row r="254" spans="1:3" x14ac:dyDescent="0.25">
      <c r="A254" s="15" t="s">
        <v>103</v>
      </c>
      <c r="B254" s="235">
        <f>'DRE 2013'!F42</f>
        <v>6262.8238591697391</v>
      </c>
    </row>
    <row r="255" spans="1:3" x14ac:dyDescent="0.25">
      <c r="A255" s="15" t="s">
        <v>106</v>
      </c>
      <c r="B255" s="235">
        <f>B254</f>
        <v>6262.8238591697391</v>
      </c>
    </row>
    <row r="257" spans="1:2" x14ac:dyDescent="0.25">
      <c r="A257" s="15" t="s">
        <v>103</v>
      </c>
      <c r="B257" s="235">
        <f>'DRE 2013'!F43</f>
        <v>2254.6165893011062</v>
      </c>
    </row>
    <row r="258" spans="1:2" x14ac:dyDescent="0.25">
      <c r="A258" s="15" t="s">
        <v>108</v>
      </c>
      <c r="B258" s="235">
        <f>B257</f>
        <v>2254.6165893011062</v>
      </c>
    </row>
    <row r="260" spans="1:2" x14ac:dyDescent="0.25">
      <c r="A260" s="15" t="s">
        <v>103</v>
      </c>
      <c r="B260" s="235">
        <f>B251-B254-B257</f>
        <v>16533.854988208121</v>
      </c>
    </row>
    <row r="261" spans="1:2" x14ac:dyDescent="0.25">
      <c r="A261" s="15" t="s">
        <v>104</v>
      </c>
      <c r="B261" s="235">
        <f>B260</f>
        <v>16533.854988208121</v>
      </c>
    </row>
    <row r="263" spans="1:2" x14ac:dyDescent="0.25">
      <c r="A263" s="15" t="s">
        <v>109</v>
      </c>
    </row>
    <row r="265" spans="1:2" x14ac:dyDescent="0.25">
      <c r="A265" s="15" t="s">
        <v>110</v>
      </c>
      <c r="B265" s="235">
        <f>B261</f>
        <v>16533.854988208121</v>
      </c>
    </row>
    <row r="266" spans="1:2" x14ac:dyDescent="0.25">
      <c r="A266" s="15" t="s">
        <v>111</v>
      </c>
      <c r="B266" s="235">
        <f>B265*0.05</f>
        <v>826.69274941040612</v>
      </c>
    </row>
    <row r="267" spans="1:2" x14ac:dyDescent="0.25">
      <c r="A267" s="15" t="s">
        <v>107</v>
      </c>
      <c r="B267" s="235">
        <f>B265-B266</f>
        <v>15707.162238797715</v>
      </c>
    </row>
    <row r="268" spans="1:2" x14ac:dyDescent="0.25">
      <c r="A268" s="15" t="s">
        <v>113</v>
      </c>
      <c r="B268" s="235">
        <f>B267*0.1</f>
        <v>1570.7162238797716</v>
      </c>
    </row>
    <row r="270" spans="1:2" x14ac:dyDescent="0.25">
      <c r="A270" s="15" t="s">
        <v>114</v>
      </c>
    </row>
    <row r="271" spans="1:2" x14ac:dyDescent="0.25">
      <c r="A271" s="15" t="s">
        <v>110</v>
      </c>
      <c r="B271" s="235">
        <f>B261</f>
        <v>16533.854988208121</v>
      </c>
    </row>
    <row r="272" spans="1:2" x14ac:dyDescent="0.25">
      <c r="A272" s="15" t="s">
        <v>111</v>
      </c>
      <c r="B272" s="235">
        <f>B266</f>
        <v>826.69274941040612</v>
      </c>
    </row>
    <row r="273" spans="1:2" x14ac:dyDescent="0.25">
      <c r="A273" s="15" t="s">
        <v>107</v>
      </c>
      <c r="B273" s="235">
        <f>B271-B272</f>
        <v>15707.162238797715</v>
      </c>
    </row>
    <row r="274" spans="1:2" x14ac:dyDescent="0.25">
      <c r="A274" s="15" t="s">
        <v>112</v>
      </c>
      <c r="B274" s="235">
        <f>B273*0.6</f>
        <v>9424.2973432786293</v>
      </c>
    </row>
    <row r="276" spans="1:2" x14ac:dyDescent="0.25">
      <c r="A276" s="15" t="s">
        <v>115</v>
      </c>
    </row>
    <row r="277" spans="1:2" x14ac:dyDescent="0.25">
      <c r="A277" s="15" t="s">
        <v>110</v>
      </c>
      <c r="B277" s="235">
        <f>B265</f>
        <v>16533.854988208121</v>
      </c>
    </row>
    <row r="278" spans="1:2" x14ac:dyDescent="0.25">
      <c r="A278" s="15" t="s">
        <v>111</v>
      </c>
      <c r="B278" s="235">
        <f>-B266</f>
        <v>-826.69274941040612</v>
      </c>
    </row>
    <row r="279" spans="1:2" x14ac:dyDescent="0.25">
      <c r="A279" s="15" t="s">
        <v>113</v>
      </c>
      <c r="B279" s="235">
        <f>-B268</f>
        <v>-1570.7162238797716</v>
      </c>
    </row>
    <row r="280" spans="1:2" x14ac:dyDescent="0.25">
      <c r="A280" s="15" t="s">
        <v>116</v>
      </c>
      <c r="B280" s="235">
        <f>-B274</f>
        <v>-9424.2973432786293</v>
      </c>
    </row>
    <row r="281" spans="1:2" x14ac:dyDescent="0.25">
      <c r="A281" s="15" t="s">
        <v>120</v>
      </c>
      <c r="B281" s="235">
        <f>SUM(B277:B280)</f>
        <v>4712.1486716393138</v>
      </c>
    </row>
    <row r="283" spans="1:2" x14ac:dyDescent="0.25">
      <c r="A283" s="15" t="s">
        <v>27</v>
      </c>
    </row>
    <row r="284" spans="1:2" x14ac:dyDescent="0.25">
      <c r="A284" s="15" t="s">
        <v>105</v>
      </c>
      <c r="B284" s="235">
        <f>SUM(B285:B288)</f>
        <v>16533.854988208121</v>
      </c>
    </row>
    <row r="285" spans="1:2" x14ac:dyDescent="0.25">
      <c r="A285" s="15" t="s">
        <v>117</v>
      </c>
      <c r="B285" s="235">
        <f>-B278</f>
        <v>826.69274941040612</v>
      </c>
    </row>
    <row r="286" spans="1:2" x14ac:dyDescent="0.25">
      <c r="A286" s="15" t="s">
        <v>118</v>
      </c>
      <c r="B286" s="235">
        <f>-B279</f>
        <v>1570.7162238797716</v>
      </c>
    </row>
    <row r="287" spans="1:2" x14ac:dyDescent="0.25">
      <c r="A287" s="15" t="s">
        <v>119</v>
      </c>
      <c r="B287" s="235">
        <f>B281</f>
        <v>4712.1486716393138</v>
      </c>
    </row>
    <row r="288" spans="1:2" x14ac:dyDescent="0.25">
      <c r="A288" s="15" t="s">
        <v>121</v>
      </c>
      <c r="B288" s="235">
        <f>-B280</f>
        <v>9424.2973432786293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7"/>
  <sheetViews>
    <sheetView showGridLines="0" zoomScale="90" zoomScaleNormal="90" workbookViewId="0">
      <selection activeCell="E16" sqref="E16"/>
    </sheetView>
  </sheetViews>
  <sheetFormatPr defaultColWidth="9.140625" defaultRowHeight="15" x14ac:dyDescent="0.25"/>
  <cols>
    <col min="1" max="1" width="1.140625" style="80" customWidth="1"/>
    <col min="2" max="2" width="43.7109375" style="82" customWidth="1"/>
    <col min="3" max="3" width="18.5703125" style="82" customWidth="1"/>
    <col min="4" max="4" width="1.42578125" style="82" customWidth="1"/>
    <col min="5" max="5" width="9.7109375" style="79" customWidth="1"/>
    <col min="6" max="6" width="11.5703125" style="82" hidden="1" customWidth="1"/>
    <col min="7" max="7" width="12.140625" style="82" hidden="1" customWidth="1"/>
    <col min="8" max="8" width="11.5703125" style="82" hidden="1" customWidth="1"/>
    <col min="9" max="9" width="1.28515625" style="82" customWidth="1"/>
    <col min="10" max="10" width="45.28515625" style="82" customWidth="1"/>
    <col min="11" max="11" width="17.42578125" style="82" customWidth="1"/>
    <col min="12" max="12" width="1" style="82" customWidth="1"/>
    <col min="13" max="13" width="8.5703125" style="82" customWidth="1"/>
    <col min="14" max="15" width="11.5703125" style="82" hidden="1" customWidth="1"/>
    <col min="16" max="16" width="2.28515625" style="82" customWidth="1"/>
    <col min="17" max="17" width="10.7109375" style="80" bestFit="1" customWidth="1"/>
    <col min="18" max="260" width="9.140625" style="80"/>
    <col min="261" max="261" width="43.42578125" style="80" customWidth="1"/>
    <col min="262" max="262" width="13.85546875" style="80" bestFit="1" customWidth="1"/>
    <col min="263" max="266" width="11.5703125" style="80" customWidth="1"/>
    <col min="267" max="267" width="31.42578125" style="80" bestFit="1" customWidth="1"/>
    <col min="268" max="268" width="14.7109375" style="80" customWidth="1"/>
    <col min="269" max="272" width="11.5703125" style="80" customWidth="1"/>
    <col min="273" max="273" width="10.7109375" style="80" bestFit="1" customWidth="1"/>
    <col min="274" max="516" width="9.140625" style="80"/>
    <col min="517" max="517" width="43.42578125" style="80" customWidth="1"/>
    <col min="518" max="518" width="13.85546875" style="80" bestFit="1" customWidth="1"/>
    <col min="519" max="522" width="11.5703125" style="80" customWidth="1"/>
    <col min="523" max="523" width="31.42578125" style="80" bestFit="1" customWidth="1"/>
    <col min="524" max="524" width="14.7109375" style="80" customWidth="1"/>
    <col min="525" max="528" width="11.5703125" style="80" customWidth="1"/>
    <col min="529" max="529" width="10.7109375" style="80" bestFit="1" customWidth="1"/>
    <col min="530" max="772" width="9.140625" style="80"/>
    <col min="773" max="773" width="43.42578125" style="80" customWidth="1"/>
    <col min="774" max="774" width="13.85546875" style="80" bestFit="1" customWidth="1"/>
    <col min="775" max="778" width="11.5703125" style="80" customWidth="1"/>
    <col min="779" max="779" width="31.42578125" style="80" bestFit="1" customWidth="1"/>
    <col min="780" max="780" width="14.7109375" style="80" customWidth="1"/>
    <col min="781" max="784" width="11.5703125" style="80" customWidth="1"/>
    <col min="785" max="785" width="10.7109375" style="80" bestFit="1" customWidth="1"/>
    <col min="786" max="1028" width="9.140625" style="80"/>
    <col min="1029" max="1029" width="43.42578125" style="80" customWidth="1"/>
    <col min="1030" max="1030" width="13.85546875" style="80" bestFit="1" customWidth="1"/>
    <col min="1031" max="1034" width="11.5703125" style="80" customWidth="1"/>
    <col min="1035" max="1035" width="31.42578125" style="80" bestFit="1" customWidth="1"/>
    <col min="1036" max="1036" width="14.7109375" style="80" customWidth="1"/>
    <col min="1037" max="1040" width="11.5703125" style="80" customWidth="1"/>
    <col min="1041" max="1041" width="10.7109375" style="80" bestFit="1" customWidth="1"/>
    <col min="1042" max="1284" width="9.140625" style="80"/>
    <col min="1285" max="1285" width="43.42578125" style="80" customWidth="1"/>
    <col min="1286" max="1286" width="13.85546875" style="80" bestFit="1" customWidth="1"/>
    <col min="1287" max="1290" width="11.5703125" style="80" customWidth="1"/>
    <col min="1291" max="1291" width="31.42578125" style="80" bestFit="1" customWidth="1"/>
    <col min="1292" max="1292" width="14.7109375" style="80" customWidth="1"/>
    <col min="1293" max="1296" width="11.5703125" style="80" customWidth="1"/>
    <col min="1297" max="1297" width="10.7109375" style="80" bestFit="1" customWidth="1"/>
    <col min="1298" max="1540" width="9.140625" style="80"/>
    <col min="1541" max="1541" width="43.42578125" style="80" customWidth="1"/>
    <col min="1542" max="1542" width="13.85546875" style="80" bestFit="1" customWidth="1"/>
    <col min="1543" max="1546" width="11.5703125" style="80" customWidth="1"/>
    <col min="1547" max="1547" width="31.42578125" style="80" bestFit="1" customWidth="1"/>
    <col min="1548" max="1548" width="14.7109375" style="80" customWidth="1"/>
    <col min="1549" max="1552" width="11.5703125" style="80" customWidth="1"/>
    <col min="1553" max="1553" width="10.7109375" style="80" bestFit="1" customWidth="1"/>
    <col min="1554" max="1796" width="9.140625" style="80"/>
    <col min="1797" max="1797" width="43.42578125" style="80" customWidth="1"/>
    <col min="1798" max="1798" width="13.85546875" style="80" bestFit="1" customWidth="1"/>
    <col min="1799" max="1802" width="11.5703125" style="80" customWidth="1"/>
    <col min="1803" max="1803" width="31.42578125" style="80" bestFit="1" customWidth="1"/>
    <col min="1804" max="1804" width="14.7109375" style="80" customWidth="1"/>
    <col min="1805" max="1808" width="11.5703125" style="80" customWidth="1"/>
    <col min="1809" max="1809" width="10.7109375" style="80" bestFit="1" customWidth="1"/>
    <col min="1810" max="2052" width="9.140625" style="80"/>
    <col min="2053" max="2053" width="43.42578125" style="80" customWidth="1"/>
    <col min="2054" max="2054" width="13.85546875" style="80" bestFit="1" customWidth="1"/>
    <col min="2055" max="2058" width="11.5703125" style="80" customWidth="1"/>
    <col min="2059" max="2059" width="31.42578125" style="80" bestFit="1" customWidth="1"/>
    <col min="2060" max="2060" width="14.7109375" style="80" customWidth="1"/>
    <col min="2061" max="2064" width="11.5703125" style="80" customWidth="1"/>
    <col min="2065" max="2065" width="10.7109375" style="80" bestFit="1" customWidth="1"/>
    <col min="2066" max="2308" width="9.140625" style="80"/>
    <col min="2309" max="2309" width="43.42578125" style="80" customWidth="1"/>
    <col min="2310" max="2310" width="13.85546875" style="80" bestFit="1" customWidth="1"/>
    <col min="2311" max="2314" width="11.5703125" style="80" customWidth="1"/>
    <col min="2315" max="2315" width="31.42578125" style="80" bestFit="1" customWidth="1"/>
    <col min="2316" max="2316" width="14.7109375" style="80" customWidth="1"/>
    <col min="2317" max="2320" width="11.5703125" style="80" customWidth="1"/>
    <col min="2321" max="2321" width="10.7109375" style="80" bestFit="1" customWidth="1"/>
    <col min="2322" max="2564" width="9.140625" style="80"/>
    <col min="2565" max="2565" width="43.42578125" style="80" customWidth="1"/>
    <col min="2566" max="2566" width="13.85546875" style="80" bestFit="1" customWidth="1"/>
    <col min="2567" max="2570" width="11.5703125" style="80" customWidth="1"/>
    <col min="2571" max="2571" width="31.42578125" style="80" bestFit="1" customWidth="1"/>
    <col min="2572" max="2572" width="14.7109375" style="80" customWidth="1"/>
    <col min="2573" max="2576" width="11.5703125" style="80" customWidth="1"/>
    <col min="2577" max="2577" width="10.7109375" style="80" bestFit="1" customWidth="1"/>
    <col min="2578" max="2820" width="9.140625" style="80"/>
    <col min="2821" max="2821" width="43.42578125" style="80" customWidth="1"/>
    <col min="2822" max="2822" width="13.85546875" style="80" bestFit="1" customWidth="1"/>
    <col min="2823" max="2826" width="11.5703125" style="80" customWidth="1"/>
    <col min="2827" max="2827" width="31.42578125" style="80" bestFit="1" customWidth="1"/>
    <col min="2828" max="2828" width="14.7109375" style="80" customWidth="1"/>
    <col min="2829" max="2832" width="11.5703125" style="80" customWidth="1"/>
    <col min="2833" max="2833" width="10.7109375" style="80" bestFit="1" customWidth="1"/>
    <col min="2834" max="3076" width="9.140625" style="80"/>
    <col min="3077" max="3077" width="43.42578125" style="80" customWidth="1"/>
    <col min="3078" max="3078" width="13.85546875" style="80" bestFit="1" customWidth="1"/>
    <col min="3079" max="3082" width="11.5703125" style="80" customWidth="1"/>
    <col min="3083" max="3083" width="31.42578125" style="80" bestFit="1" customWidth="1"/>
    <col min="3084" max="3084" width="14.7109375" style="80" customWidth="1"/>
    <col min="3085" max="3088" width="11.5703125" style="80" customWidth="1"/>
    <col min="3089" max="3089" width="10.7109375" style="80" bestFit="1" customWidth="1"/>
    <col min="3090" max="3332" width="9.140625" style="80"/>
    <col min="3333" max="3333" width="43.42578125" style="80" customWidth="1"/>
    <col min="3334" max="3334" width="13.85546875" style="80" bestFit="1" customWidth="1"/>
    <col min="3335" max="3338" width="11.5703125" style="80" customWidth="1"/>
    <col min="3339" max="3339" width="31.42578125" style="80" bestFit="1" customWidth="1"/>
    <col min="3340" max="3340" width="14.7109375" style="80" customWidth="1"/>
    <col min="3341" max="3344" width="11.5703125" style="80" customWidth="1"/>
    <col min="3345" max="3345" width="10.7109375" style="80" bestFit="1" customWidth="1"/>
    <col min="3346" max="3588" width="9.140625" style="80"/>
    <col min="3589" max="3589" width="43.42578125" style="80" customWidth="1"/>
    <col min="3590" max="3590" width="13.85546875" style="80" bestFit="1" customWidth="1"/>
    <col min="3591" max="3594" width="11.5703125" style="80" customWidth="1"/>
    <col min="3595" max="3595" width="31.42578125" style="80" bestFit="1" customWidth="1"/>
    <col min="3596" max="3596" width="14.7109375" style="80" customWidth="1"/>
    <col min="3597" max="3600" width="11.5703125" style="80" customWidth="1"/>
    <col min="3601" max="3601" width="10.7109375" style="80" bestFit="1" customWidth="1"/>
    <col min="3602" max="3844" width="9.140625" style="80"/>
    <col min="3845" max="3845" width="43.42578125" style="80" customWidth="1"/>
    <col min="3846" max="3846" width="13.85546875" style="80" bestFit="1" customWidth="1"/>
    <col min="3847" max="3850" width="11.5703125" style="80" customWidth="1"/>
    <col min="3851" max="3851" width="31.42578125" style="80" bestFit="1" customWidth="1"/>
    <col min="3852" max="3852" width="14.7109375" style="80" customWidth="1"/>
    <col min="3853" max="3856" width="11.5703125" style="80" customWidth="1"/>
    <col min="3857" max="3857" width="10.7109375" style="80" bestFit="1" customWidth="1"/>
    <col min="3858" max="4100" width="9.140625" style="80"/>
    <col min="4101" max="4101" width="43.42578125" style="80" customWidth="1"/>
    <col min="4102" max="4102" width="13.85546875" style="80" bestFit="1" customWidth="1"/>
    <col min="4103" max="4106" width="11.5703125" style="80" customWidth="1"/>
    <col min="4107" max="4107" width="31.42578125" style="80" bestFit="1" customWidth="1"/>
    <col min="4108" max="4108" width="14.7109375" style="80" customWidth="1"/>
    <col min="4109" max="4112" width="11.5703125" style="80" customWidth="1"/>
    <col min="4113" max="4113" width="10.7109375" style="80" bestFit="1" customWidth="1"/>
    <col min="4114" max="4356" width="9.140625" style="80"/>
    <col min="4357" max="4357" width="43.42578125" style="80" customWidth="1"/>
    <col min="4358" max="4358" width="13.85546875" style="80" bestFit="1" customWidth="1"/>
    <col min="4359" max="4362" width="11.5703125" style="80" customWidth="1"/>
    <col min="4363" max="4363" width="31.42578125" style="80" bestFit="1" customWidth="1"/>
    <col min="4364" max="4364" width="14.7109375" style="80" customWidth="1"/>
    <col min="4365" max="4368" width="11.5703125" style="80" customWidth="1"/>
    <col min="4369" max="4369" width="10.7109375" style="80" bestFit="1" customWidth="1"/>
    <col min="4370" max="4612" width="9.140625" style="80"/>
    <col min="4613" max="4613" width="43.42578125" style="80" customWidth="1"/>
    <col min="4614" max="4614" width="13.85546875" style="80" bestFit="1" customWidth="1"/>
    <col min="4615" max="4618" width="11.5703125" style="80" customWidth="1"/>
    <col min="4619" max="4619" width="31.42578125" style="80" bestFit="1" customWidth="1"/>
    <col min="4620" max="4620" width="14.7109375" style="80" customWidth="1"/>
    <col min="4621" max="4624" width="11.5703125" style="80" customWidth="1"/>
    <col min="4625" max="4625" width="10.7109375" style="80" bestFit="1" customWidth="1"/>
    <col min="4626" max="4868" width="9.140625" style="80"/>
    <col min="4869" max="4869" width="43.42578125" style="80" customWidth="1"/>
    <col min="4870" max="4870" width="13.85546875" style="80" bestFit="1" customWidth="1"/>
    <col min="4871" max="4874" width="11.5703125" style="80" customWidth="1"/>
    <col min="4875" max="4875" width="31.42578125" style="80" bestFit="1" customWidth="1"/>
    <col min="4876" max="4876" width="14.7109375" style="80" customWidth="1"/>
    <col min="4877" max="4880" width="11.5703125" style="80" customWidth="1"/>
    <col min="4881" max="4881" width="10.7109375" style="80" bestFit="1" customWidth="1"/>
    <col min="4882" max="5124" width="9.140625" style="80"/>
    <col min="5125" max="5125" width="43.42578125" style="80" customWidth="1"/>
    <col min="5126" max="5126" width="13.85546875" style="80" bestFit="1" customWidth="1"/>
    <col min="5127" max="5130" width="11.5703125" style="80" customWidth="1"/>
    <col min="5131" max="5131" width="31.42578125" style="80" bestFit="1" customWidth="1"/>
    <col min="5132" max="5132" width="14.7109375" style="80" customWidth="1"/>
    <col min="5133" max="5136" width="11.5703125" style="80" customWidth="1"/>
    <col min="5137" max="5137" width="10.7109375" style="80" bestFit="1" customWidth="1"/>
    <col min="5138" max="5380" width="9.140625" style="80"/>
    <col min="5381" max="5381" width="43.42578125" style="80" customWidth="1"/>
    <col min="5382" max="5382" width="13.85546875" style="80" bestFit="1" customWidth="1"/>
    <col min="5383" max="5386" width="11.5703125" style="80" customWidth="1"/>
    <col min="5387" max="5387" width="31.42578125" style="80" bestFit="1" customWidth="1"/>
    <col min="5388" max="5388" width="14.7109375" style="80" customWidth="1"/>
    <col min="5389" max="5392" width="11.5703125" style="80" customWidth="1"/>
    <col min="5393" max="5393" width="10.7109375" style="80" bestFit="1" customWidth="1"/>
    <col min="5394" max="5636" width="9.140625" style="80"/>
    <col min="5637" max="5637" width="43.42578125" style="80" customWidth="1"/>
    <col min="5638" max="5638" width="13.85546875" style="80" bestFit="1" customWidth="1"/>
    <col min="5639" max="5642" width="11.5703125" style="80" customWidth="1"/>
    <col min="5643" max="5643" width="31.42578125" style="80" bestFit="1" customWidth="1"/>
    <col min="5644" max="5644" width="14.7109375" style="80" customWidth="1"/>
    <col min="5645" max="5648" width="11.5703125" style="80" customWidth="1"/>
    <col min="5649" max="5649" width="10.7109375" style="80" bestFit="1" customWidth="1"/>
    <col min="5650" max="5892" width="9.140625" style="80"/>
    <col min="5893" max="5893" width="43.42578125" style="80" customWidth="1"/>
    <col min="5894" max="5894" width="13.85546875" style="80" bestFit="1" customWidth="1"/>
    <col min="5895" max="5898" width="11.5703125" style="80" customWidth="1"/>
    <col min="5899" max="5899" width="31.42578125" style="80" bestFit="1" customWidth="1"/>
    <col min="5900" max="5900" width="14.7109375" style="80" customWidth="1"/>
    <col min="5901" max="5904" width="11.5703125" style="80" customWidth="1"/>
    <col min="5905" max="5905" width="10.7109375" style="80" bestFit="1" customWidth="1"/>
    <col min="5906" max="6148" width="9.140625" style="80"/>
    <col min="6149" max="6149" width="43.42578125" style="80" customWidth="1"/>
    <col min="6150" max="6150" width="13.85546875" style="80" bestFit="1" customWidth="1"/>
    <col min="6151" max="6154" width="11.5703125" style="80" customWidth="1"/>
    <col min="6155" max="6155" width="31.42578125" style="80" bestFit="1" customWidth="1"/>
    <col min="6156" max="6156" width="14.7109375" style="80" customWidth="1"/>
    <col min="6157" max="6160" width="11.5703125" style="80" customWidth="1"/>
    <col min="6161" max="6161" width="10.7109375" style="80" bestFit="1" customWidth="1"/>
    <col min="6162" max="6404" width="9.140625" style="80"/>
    <col min="6405" max="6405" width="43.42578125" style="80" customWidth="1"/>
    <col min="6406" max="6406" width="13.85546875" style="80" bestFit="1" customWidth="1"/>
    <col min="6407" max="6410" width="11.5703125" style="80" customWidth="1"/>
    <col min="6411" max="6411" width="31.42578125" style="80" bestFit="1" customWidth="1"/>
    <col min="6412" max="6412" width="14.7109375" style="80" customWidth="1"/>
    <col min="6413" max="6416" width="11.5703125" style="80" customWidth="1"/>
    <col min="6417" max="6417" width="10.7109375" style="80" bestFit="1" customWidth="1"/>
    <col min="6418" max="6660" width="9.140625" style="80"/>
    <col min="6661" max="6661" width="43.42578125" style="80" customWidth="1"/>
    <col min="6662" max="6662" width="13.85546875" style="80" bestFit="1" customWidth="1"/>
    <col min="6663" max="6666" width="11.5703125" style="80" customWidth="1"/>
    <col min="6667" max="6667" width="31.42578125" style="80" bestFit="1" customWidth="1"/>
    <col min="6668" max="6668" width="14.7109375" style="80" customWidth="1"/>
    <col min="6669" max="6672" width="11.5703125" style="80" customWidth="1"/>
    <col min="6673" max="6673" width="10.7109375" style="80" bestFit="1" customWidth="1"/>
    <col min="6674" max="6916" width="9.140625" style="80"/>
    <col min="6917" max="6917" width="43.42578125" style="80" customWidth="1"/>
    <col min="6918" max="6918" width="13.85546875" style="80" bestFit="1" customWidth="1"/>
    <col min="6919" max="6922" width="11.5703125" style="80" customWidth="1"/>
    <col min="6923" max="6923" width="31.42578125" style="80" bestFit="1" customWidth="1"/>
    <col min="6924" max="6924" width="14.7109375" style="80" customWidth="1"/>
    <col min="6925" max="6928" width="11.5703125" style="80" customWidth="1"/>
    <col min="6929" max="6929" width="10.7109375" style="80" bestFit="1" customWidth="1"/>
    <col min="6930" max="7172" width="9.140625" style="80"/>
    <col min="7173" max="7173" width="43.42578125" style="80" customWidth="1"/>
    <col min="7174" max="7174" width="13.85546875" style="80" bestFit="1" customWidth="1"/>
    <col min="7175" max="7178" width="11.5703125" style="80" customWidth="1"/>
    <col min="7179" max="7179" width="31.42578125" style="80" bestFit="1" customWidth="1"/>
    <col min="7180" max="7180" width="14.7109375" style="80" customWidth="1"/>
    <col min="7181" max="7184" width="11.5703125" style="80" customWidth="1"/>
    <col min="7185" max="7185" width="10.7109375" style="80" bestFit="1" customWidth="1"/>
    <col min="7186" max="7428" width="9.140625" style="80"/>
    <col min="7429" max="7429" width="43.42578125" style="80" customWidth="1"/>
    <col min="7430" max="7430" width="13.85546875" style="80" bestFit="1" customWidth="1"/>
    <col min="7431" max="7434" width="11.5703125" style="80" customWidth="1"/>
    <col min="7435" max="7435" width="31.42578125" style="80" bestFit="1" customWidth="1"/>
    <col min="7436" max="7436" width="14.7109375" style="80" customWidth="1"/>
    <col min="7437" max="7440" width="11.5703125" style="80" customWidth="1"/>
    <col min="7441" max="7441" width="10.7109375" style="80" bestFit="1" customWidth="1"/>
    <col min="7442" max="7684" width="9.140625" style="80"/>
    <col min="7685" max="7685" width="43.42578125" style="80" customWidth="1"/>
    <col min="7686" max="7686" width="13.85546875" style="80" bestFit="1" customWidth="1"/>
    <col min="7687" max="7690" width="11.5703125" style="80" customWidth="1"/>
    <col min="7691" max="7691" width="31.42578125" style="80" bestFit="1" customWidth="1"/>
    <col min="7692" max="7692" width="14.7109375" style="80" customWidth="1"/>
    <col min="7693" max="7696" width="11.5703125" style="80" customWidth="1"/>
    <col min="7697" max="7697" width="10.7109375" style="80" bestFit="1" customWidth="1"/>
    <col min="7698" max="7940" width="9.140625" style="80"/>
    <col min="7941" max="7941" width="43.42578125" style="80" customWidth="1"/>
    <col min="7942" max="7942" width="13.85546875" style="80" bestFit="1" customWidth="1"/>
    <col min="7943" max="7946" width="11.5703125" style="80" customWidth="1"/>
    <col min="7947" max="7947" width="31.42578125" style="80" bestFit="1" customWidth="1"/>
    <col min="7948" max="7948" width="14.7109375" style="80" customWidth="1"/>
    <col min="7949" max="7952" width="11.5703125" style="80" customWidth="1"/>
    <col min="7953" max="7953" width="10.7109375" style="80" bestFit="1" customWidth="1"/>
    <col min="7954" max="8196" width="9.140625" style="80"/>
    <col min="8197" max="8197" width="43.42578125" style="80" customWidth="1"/>
    <col min="8198" max="8198" width="13.85546875" style="80" bestFit="1" customWidth="1"/>
    <col min="8199" max="8202" width="11.5703125" style="80" customWidth="1"/>
    <col min="8203" max="8203" width="31.42578125" style="80" bestFit="1" customWidth="1"/>
    <col min="8204" max="8204" width="14.7109375" style="80" customWidth="1"/>
    <col min="8205" max="8208" width="11.5703125" style="80" customWidth="1"/>
    <col min="8209" max="8209" width="10.7109375" style="80" bestFit="1" customWidth="1"/>
    <col min="8210" max="8452" width="9.140625" style="80"/>
    <col min="8453" max="8453" width="43.42578125" style="80" customWidth="1"/>
    <col min="8454" max="8454" width="13.85546875" style="80" bestFit="1" customWidth="1"/>
    <col min="8455" max="8458" width="11.5703125" style="80" customWidth="1"/>
    <col min="8459" max="8459" width="31.42578125" style="80" bestFit="1" customWidth="1"/>
    <col min="8460" max="8460" width="14.7109375" style="80" customWidth="1"/>
    <col min="8461" max="8464" width="11.5703125" style="80" customWidth="1"/>
    <col min="8465" max="8465" width="10.7109375" style="80" bestFit="1" customWidth="1"/>
    <col min="8466" max="8708" width="9.140625" style="80"/>
    <col min="8709" max="8709" width="43.42578125" style="80" customWidth="1"/>
    <col min="8710" max="8710" width="13.85546875" style="80" bestFit="1" customWidth="1"/>
    <col min="8711" max="8714" width="11.5703125" style="80" customWidth="1"/>
    <col min="8715" max="8715" width="31.42578125" style="80" bestFit="1" customWidth="1"/>
    <col min="8716" max="8716" width="14.7109375" style="80" customWidth="1"/>
    <col min="8717" max="8720" width="11.5703125" style="80" customWidth="1"/>
    <col min="8721" max="8721" width="10.7109375" style="80" bestFit="1" customWidth="1"/>
    <col min="8722" max="8964" width="9.140625" style="80"/>
    <col min="8965" max="8965" width="43.42578125" style="80" customWidth="1"/>
    <col min="8966" max="8966" width="13.85546875" style="80" bestFit="1" customWidth="1"/>
    <col min="8967" max="8970" width="11.5703125" style="80" customWidth="1"/>
    <col min="8971" max="8971" width="31.42578125" style="80" bestFit="1" customWidth="1"/>
    <col min="8972" max="8972" width="14.7109375" style="80" customWidth="1"/>
    <col min="8973" max="8976" width="11.5703125" style="80" customWidth="1"/>
    <col min="8977" max="8977" width="10.7109375" style="80" bestFit="1" customWidth="1"/>
    <col min="8978" max="9220" width="9.140625" style="80"/>
    <col min="9221" max="9221" width="43.42578125" style="80" customWidth="1"/>
    <col min="9222" max="9222" width="13.85546875" style="80" bestFit="1" customWidth="1"/>
    <col min="9223" max="9226" width="11.5703125" style="80" customWidth="1"/>
    <col min="9227" max="9227" width="31.42578125" style="80" bestFit="1" customWidth="1"/>
    <col min="9228" max="9228" width="14.7109375" style="80" customWidth="1"/>
    <col min="9229" max="9232" width="11.5703125" style="80" customWidth="1"/>
    <col min="9233" max="9233" width="10.7109375" style="80" bestFit="1" customWidth="1"/>
    <col min="9234" max="9476" width="9.140625" style="80"/>
    <col min="9477" max="9477" width="43.42578125" style="80" customWidth="1"/>
    <col min="9478" max="9478" width="13.85546875" style="80" bestFit="1" customWidth="1"/>
    <col min="9479" max="9482" width="11.5703125" style="80" customWidth="1"/>
    <col min="9483" max="9483" width="31.42578125" style="80" bestFit="1" customWidth="1"/>
    <col min="9484" max="9484" width="14.7109375" style="80" customWidth="1"/>
    <col min="9485" max="9488" width="11.5703125" style="80" customWidth="1"/>
    <col min="9489" max="9489" width="10.7109375" style="80" bestFit="1" customWidth="1"/>
    <col min="9490" max="9732" width="9.140625" style="80"/>
    <col min="9733" max="9733" width="43.42578125" style="80" customWidth="1"/>
    <col min="9734" max="9734" width="13.85546875" style="80" bestFit="1" customWidth="1"/>
    <col min="9735" max="9738" width="11.5703125" style="80" customWidth="1"/>
    <col min="9739" max="9739" width="31.42578125" style="80" bestFit="1" customWidth="1"/>
    <col min="9740" max="9740" width="14.7109375" style="80" customWidth="1"/>
    <col min="9741" max="9744" width="11.5703125" style="80" customWidth="1"/>
    <col min="9745" max="9745" width="10.7109375" style="80" bestFit="1" customWidth="1"/>
    <col min="9746" max="9988" width="9.140625" style="80"/>
    <col min="9989" max="9989" width="43.42578125" style="80" customWidth="1"/>
    <col min="9990" max="9990" width="13.85546875" style="80" bestFit="1" customWidth="1"/>
    <col min="9991" max="9994" width="11.5703125" style="80" customWidth="1"/>
    <col min="9995" max="9995" width="31.42578125" style="80" bestFit="1" customWidth="1"/>
    <col min="9996" max="9996" width="14.7109375" style="80" customWidth="1"/>
    <col min="9997" max="10000" width="11.5703125" style="80" customWidth="1"/>
    <col min="10001" max="10001" width="10.7109375" style="80" bestFit="1" customWidth="1"/>
    <col min="10002" max="10244" width="9.140625" style="80"/>
    <col min="10245" max="10245" width="43.42578125" style="80" customWidth="1"/>
    <col min="10246" max="10246" width="13.85546875" style="80" bestFit="1" customWidth="1"/>
    <col min="10247" max="10250" width="11.5703125" style="80" customWidth="1"/>
    <col min="10251" max="10251" width="31.42578125" style="80" bestFit="1" customWidth="1"/>
    <col min="10252" max="10252" width="14.7109375" style="80" customWidth="1"/>
    <col min="10253" max="10256" width="11.5703125" style="80" customWidth="1"/>
    <col min="10257" max="10257" width="10.7109375" style="80" bestFit="1" customWidth="1"/>
    <col min="10258" max="10500" width="9.140625" style="80"/>
    <col min="10501" max="10501" width="43.42578125" style="80" customWidth="1"/>
    <col min="10502" max="10502" width="13.85546875" style="80" bestFit="1" customWidth="1"/>
    <col min="10503" max="10506" width="11.5703125" style="80" customWidth="1"/>
    <col min="10507" max="10507" width="31.42578125" style="80" bestFit="1" customWidth="1"/>
    <col min="10508" max="10508" width="14.7109375" style="80" customWidth="1"/>
    <col min="10509" max="10512" width="11.5703125" style="80" customWidth="1"/>
    <col min="10513" max="10513" width="10.7109375" style="80" bestFit="1" customWidth="1"/>
    <col min="10514" max="10756" width="9.140625" style="80"/>
    <col min="10757" max="10757" width="43.42578125" style="80" customWidth="1"/>
    <col min="10758" max="10758" width="13.85546875" style="80" bestFit="1" customWidth="1"/>
    <col min="10759" max="10762" width="11.5703125" style="80" customWidth="1"/>
    <col min="10763" max="10763" width="31.42578125" style="80" bestFit="1" customWidth="1"/>
    <col min="10764" max="10764" width="14.7109375" style="80" customWidth="1"/>
    <col min="10765" max="10768" width="11.5703125" style="80" customWidth="1"/>
    <col min="10769" max="10769" width="10.7109375" style="80" bestFit="1" customWidth="1"/>
    <col min="10770" max="11012" width="9.140625" style="80"/>
    <col min="11013" max="11013" width="43.42578125" style="80" customWidth="1"/>
    <col min="11014" max="11014" width="13.85546875" style="80" bestFit="1" customWidth="1"/>
    <col min="11015" max="11018" width="11.5703125" style="80" customWidth="1"/>
    <col min="11019" max="11019" width="31.42578125" style="80" bestFit="1" customWidth="1"/>
    <col min="11020" max="11020" width="14.7109375" style="80" customWidth="1"/>
    <col min="11021" max="11024" width="11.5703125" style="80" customWidth="1"/>
    <col min="11025" max="11025" width="10.7109375" style="80" bestFit="1" customWidth="1"/>
    <col min="11026" max="11268" width="9.140625" style="80"/>
    <col min="11269" max="11269" width="43.42578125" style="80" customWidth="1"/>
    <col min="11270" max="11270" width="13.85546875" style="80" bestFit="1" customWidth="1"/>
    <col min="11271" max="11274" width="11.5703125" style="80" customWidth="1"/>
    <col min="11275" max="11275" width="31.42578125" style="80" bestFit="1" customWidth="1"/>
    <col min="11276" max="11276" width="14.7109375" style="80" customWidth="1"/>
    <col min="11277" max="11280" width="11.5703125" style="80" customWidth="1"/>
    <col min="11281" max="11281" width="10.7109375" style="80" bestFit="1" customWidth="1"/>
    <col min="11282" max="11524" width="9.140625" style="80"/>
    <col min="11525" max="11525" width="43.42578125" style="80" customWidth="1"/>
    <col min="11526" max="11526" width="13.85546875" style="80" bestFit="1" customWidth="1"/>
    <col min="11527" max="11530" width="11.5703125" style="80" customWidth="1"/>
    <col min="11531" max="11531" width="31.42578125" style="80" bestFit="1" customWidth="1"/>
    <col min="11532" max="11532" width="14.7109375" style="80" customWidth="1"/>
    <col min="11533" max="11536" width="11.5703125" style="80" customWidth="1"/>
    <col min="11537" max="11537" width="10.7109375" style="80" bestFit="1" customWidth="1"/>
    <col min="11538" max="11780" width="9.140625" style="80"/>
    <col min="11781" max="11781" width="43.42578125" style="80" customWidth="1"/>
    <col min="11782" max="11782" width="13.85546875" style="80" bestFit="1" customWidth="1"/>
    <col min="11783" max="11786" width="11.5703125" style="80" customWidth="1"/>
    <col min="11787" max="11787" width="31.42578125" style="80" bestFit="1" customWidth="1"/>
    <col min="11788" max="11788" width="14.7109375" style="80" customWidth="1"/>
    <col min="11789" max="11792" width="11.5703125" style="80" customWidth="1"/>
    <col min="11793" max="11793" width="10.7109375" style="80" bestFit="1" customWidth="1"/>
    <col min="11794" max="12036" width="9.140625" style="80"/>
    <col min="12037" max="12037" width="43.42578125" style="80" customWidth="1"/>
    <col min="12038" max="12038" width="13.85546875" style="80" bestFit="1" customWidth="1"/>
    <col min="12039" max="12042" width="11.5703125" style="80" customWidth="1"/>
    <col min="12043" max="12043" width="31.42578125" style="80" bestFit="1" customWidth="1"/>
    <col min="12044" max="12044" width="14.7109375" style="80" customWidth="1"/>
    <col min="12045" max="12048" width="11.5703125" style="80" customWidth="1"/>
    <col min="12049" max="12049" width="10.7109375" style="80" bestFit="1" customWidth="1"/>
    <col min="12050" max="12292" width="9.140625" style="80"/>
    <col min="12293" max="12293" width="43.42578125" style="80" customWidth="1"/>
    <col min="12294" max="12294" width="13.85546875" style="80" bestFit="1" customWidth="1"/>
    <col min="12295" max="12298" width="11.5703125" style="80" customWidth="1"/>
    <col min="12299" max="12299" width="31.42578125" style="80" bestFit="1" customWidth="1"/>
    <col min="12300" max="12300" width="14.7109375" style="80" customWidth="1"/>
    <col min="12301" max="12304" width="11.5703125" style="80" customWidth="1"/>
    <col min="12305" max="12305" width="10.7109375" style="80" bestFit="1" customWidth="1"/>
    <col min="12306" max="12548" width="9.140625" style="80"/>
    <col min="12549" max="12549" width="43.42578125" style="80" customWidth="1"/>
    <col min="12550" max="12550" width="13.85546875" style="80" bestFit="1" customWidth="1"/>
    <col min="12551" max="12554" width="11.5703125" style="80" customWidth="1"/>
    <col min="12555" max="12555" width="31.42578125" style="80" bestFit="1" customWidth="1"/>
    <col min="12556" max="12556" width="14.7109375" style="80" customWidth="1"/>
    <col min="12557" max="12560" width="11.5703125" style="80" customWidth="1"/>
    <col min="12561" max="12561" width="10.7109375" style="80" bestFit="1" customWidth="1"/>
    <col min="12562" max="12804" width="9.140625" style="80"/>
    <col min="12805" max="12805" width="43.42578125" style="80" customWidth="1"/>
    <col min="12806" max="12806" width="13.85546875" style="80" bestFit="1" customWidth="1"/>
    <col min="12807" max="12810" width="11.5703125" style="80" customWidth="1"/>
    <col min="12811" max="12811" width="31.42578125" style="80" bestFit="1" customWidth="1"/>
    <col min="12812" max="12812" width="14.7109375" style="80" customWidth="1"/>
    <col min="12813" max="12816" width="11.5703125" style="80" customWidth="1"/>
    <col min="12817" max="12817" width="10.7109375" style="80" bestFit="1" customWidth="1"/>
    <col min="12818" max="13060" width="9.140625" style="80"/>
    <col min="13061" max="13061" width="43.42578125" style="80" customWidth="1"/>
    <col min="13062" max="13062" width="13.85546875" style="80" bestFit="1" customWidth="1"/>
    <col min="13063" max="13066" width="11.5703125" style="80" customWidth="1"/>
    <col min="13067" max="13067" width="31.42578125" style="80" bestFit="1" customWidth="1"/>
    <col min="13068" max="13068" width="14.7109375" style="80" customWidth="1"/>
    <col min="13069" max="13072" width="11.5703125" style="80" customWidth="1"/>
    <col min="13073" max="13073" width="10.7109375" style="80" bestFit="1" customWidth="1"/>
    <col min="13074" max="13316" width="9.140625" style="80"/>
    <col min="13317" max="13317" width="43.42578125" style="80" customWidth="1"/>
    <col min="13318" max="13318" width="13.85546875" style="80" bestFit="1" customWidth="1"/>
    <col min="13319" max="13322" width="11.5703125" style="80" customWidth="1"/>
    <col min="13323" max="13323" width="31.42578125" style="80" bestFit="1" customWidth="1"/>
    <col min="13324" max="13324" width="14.7109375" style="80" customWidth="1"/>
    <col min="13325" max="13328" width="11.5703125" style="80" customWidth="1"/>
    <col min="13329" max="13329" width="10.7109375" style="80" bestFit="1" customWidth="1"/>
    <col min="13330" max="13572" width="9.140625" style="80"/>
    <col min="13573" max="13573" width="43.42578125" style="80" customWidth="1"/>
    <col min="13574" max="13574" width="13.85546875" style="80" bestFit="1" customWidth="1"/>
    <col min="13575" max="13578" width="11.5703125" style="80" customWidth="1"/>
    <col min="13579" max="13579" width="31.42578125" style="80" bestFit="1" customWidth="1"/>
    <col min="13580" max="13580" width="14.7109375" style="80" customWidth="1"/>
    <col min="13581" max="13584" width="11.5703125" style="80" customWidth="1"/>
    <col min="13585" max="13585" width="10.7109375" style="80" bestFit="1" customWidth="1"/>
    <col min="13586" max="13828" width="9.140625" style="80"/>
    <col min="13829" max="13829" width="43.42578125" style="80" customWidth="1"/>
    <col min="13830" max="13830" width="13.85546875" style="80" bestFit="1" customWidth="1"/>
    <col min="13831" max="13834" width="11.5703125" style="80" customWidth="1"/>
    <col min="13835" max="13835" width="31.42578125" style="80" bestFit="1" customWidth="1"/>
    <col min="13836" max="13836" width="14.7109375" style="80" customWidth="1"/>
    <col min="13837" max="13840" width="11.5703125" style="80" customWidth="1"/>
    <col min="13841" max="13841" width="10.7109375" style="80" bestFit="1" customWidth="1"/>
    <col min="13842" max="14084" width="9.140625" style="80"/>
    <col min="14085" max="14085" width="43.42578125" style="80" customWidth="1"/>
    <col min="14086" max="14086" width="13.85546875" style="80" bestFit="1" customWidth="1"/>
    <col min="14087" max="14090" width="11.5703125" style="80" customWidth="1"/>
    <col min="14091" max="14091" width="31.42578125" style="80" bestFit="1" customWidth="1"/>
    <col min="14092" max="14092" width="14.7109375" style="80" customWidth="1"/>
    <col min="14093" max="14096" width="11.5703125" style="80" customWidth="1"/>
    <col min="14097" max="14097" width="10.7109375" style="80" bestFit="1" customWidth="1"/>
    <col min="14098" max="14340" width="9.140625" style="80"/>
    <col min="14341" max="14341" width="43.42578125" style="80" customWidth="1"/>
    <col min="14342" max="14342" width="13.85546875" style="80" bestFit="1" customWidth="1"/>
    <col min="14343" max="14346" width="11.5703125" style="80" customWidth="1"/>
    <col min="14347" max="14347" width="31.42578125" style="80" bestFit="1" customWidth="1"/>
    <col min="14348" max="14348" width="14.7109375" style="80" customWidth="1"/>
    <col min="14349" max="14352" width="11.5703125" style="80" customWidth="1"/>
    <col min="14353" max="14353" width="10.7109375" style="80" bestFit="1" customWidth="1"/>
    <col min="14354" max="14596" width="9.140625" style="80"/>
    <col min="14597" max="14597" width="43.42578125" style="80" customWidth="1"/>
    <col min="14598" max="14598" width="13.85546875" style="80" bestFit="1" customWidth="1"/>
    <col min="14599" max="14602" width="11.5703125" style="80" customWidth="1"/>
    <col min="14603" max="14603" width="31.42578125" style="80" bestFit="1" customWidth="1"/>
    <col min="14604" max="14604" width="14.7109375" style="80" customWidth="1"/>
    <col min="14605" max="14608" width="11.5703125" style="80" customWidth="1"/>
    <col min="14609" max="14609" width="10.7109375" style="80" bestFit="1" customWidth="1"/>
    <col min="14610" max="14852" width="9.140625" style="80"/>
    <col min="14853" max="14853" width="43.42578125" style="80" customWidth="1"/>
    <col min="14854" max="14854" width="13.85546875" style="80" bestFit="1" customWidth="1"/>
    <col min="14855" max="14858" width="11.5703125" style="80" customWidth="1"/>
    <col min="14859" max="14859" width="31.42578125" style="80" bestFit="1" customWidth="1"/>
    <col min="14860" max="14860" width="14.7109375" style="80" customWidth="1"/>
    <col min="14861" max="14864" width="11.5703125" style="80" customWidth="1"/>
    <col min="14865" max="14865" width="10.7109375" style="80" bestFit="1" customWidth="1"/>
    <col min="14866" max="15108" width="9.140625" style="80"/>
    <col min="15109" max="15109" width="43.42578125" style="80" customWidth="1"/>
    <col min="15110" max="15110" width="13.85546875" style="80" bestFit="1" customWidth="1"/>
    <col min="15111" max="15114" width="11.5703125" style="80" customWidth="1"/>
    <col min="15115" max="15115" width="31.42578125" style="80" bestFit="1" customWidth="1"/>
    <col min="15116" max="15116" width="14.7109375" style="80" customWidth="1"/>
    <col min="15117" max="15120" width="11.5703125" style="80" customWidth="1"/>
    <col min="15121" max="15121" width="10.7109375" style="80" bestFit="1" customWidth="1"/>
    <col min="15122" max="15364" width="9.140625" style="80"/>
    <col min="15365" max="15365" width="43.42578125" style="80" customWidth="1"/>
    <col min="15366" max="15366" width="13.85546875" style="80" bestFit="1" customWidth="1"/>
    <col min="15367" max="15370" width="11.5703125" style="80" customWidth="1"/>
    <col min="15371" max="15371" width="31.42578125" style="80" bestFit="1" customWidth="1"/>
    <col min="15372" max="15372" width="14.7109375" style="80" customWidth="1"/>
    <col min="15373" max="15376" width="11.5703125" style="80" customWidth="1"/>
    <col min="15377" max="15377" width="10.7109375" style="80" bestFit="1" customWidth="1"/>
    <col min="15378" max="15620" width="9.140625" style="80"/>
    <col min="15621" max="15621" width="43.42578125" style="80" customWidth="1"/>
    <col min="15622" max="15622" width="13.85546875" style="80" bestFit="1" customWidth="1"/>
    <col min="15623" max="15626" width="11.5703125" style="80" customWidth="1"/>
    <col min="15627" max="15627" width="31.42578125" style="80" bestFit="1" customWidth="1"/>
    <col min="15628" max="15628" width="14.7109375" style="80" customWidth="1"/>
    <col min="15629" max="15632" width="11.5703125" style="80" customWidth="1"/>
    <col min="15633" max="15633" width="10.7109375" style="80" bestFit="1" customWidth="1"/>
    <col min="15634" max="15876" width="9.140625" style="80"/>
    <col min="15877" max="15877" width="43.42578125" style="80" customWidth="1"/>
    <col min="15878" max="15878" width="13.85546875" style="80" bestFit="1" customWidth="1"/>
    <col min="15879" max="15882" width="11.5703125" style="80" customWidth="1"/>
    <col min="15883" max="15883" width="31.42578125" style="80" bestFit="1" customWidth="1"/>
    <col min="15884" max="15884" width="14.7109375" style="80" customWidth="1"/>
    <col min="15885" max="15888" width="11.5703125" style="80" customWidth="1"/>
    <col min="15889" max="15889" width="10.7109375" style="80" bestFit="1" customWidth="1"/>
    <col min="15890" max="16132" width="9.140625" style="80"/>
    <col min="16133" max="16133" width="43.42578125" style="80" customWidth="1"/>
    <col min="16134" max="16134" width="13.85546875" style="80" bestFit="1" customWidth="1"/>
    <col min="16135" max="16138" width="11.5703125" style="80" customWidth="1"/>
    <col min="16139" max="16139" width="31.42578125" style="80" bestFit="1" customWidth="1"/>
    <col min="16140" max="16140" width="14.7109375" style="80" customWidth="1"/>
    <col min="16141" max="16144" width="11.5703125" style="80" customWidth="1"/>
    <col min="16145" max="16384" width="9.140625" style="80"/>
  </cols>
  <sheetData>
    <row r="1" spans="2:18" ht="17.25" x14ac:dyDescent="0.3">
      <c r="B1" s="437" t="s">
        <v>189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79"/>
      <c r="P1" s="79"/>
      <c r="R1" s="81"/>
    </row>
    <row r="2" spans="2:18" ht="17.25" x14ac:dyDescent="0.3">
      <c r="B2" s="437" t="s">
        <v>190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79"/>
      <c r="P2" s="79"/>
      <c r="R2" s="81"/>
    </row>
    <row r="3" spans="2:18" ht="17.25" x14ac:dyDescent="0.3">
      <c r="B3" s="437" t="s">
        <v>161</v>
      </c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79"/>
      <c r="P3" s="79"/>
      <c r="R3" s="81"/>
    </row>
    <row r="4" spans="2:18" ht="15.75" thickBot="1" x14ac:dyDescent="0.3"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81"/>
      <c r="R4" s="81"/>
    </row>
    <row r="5" spans="2:18" ht="17.25" customHeight="1" thickBot="1" x14ac:dyDescent="0.3">
      <c r="B5" s="83" t="s">
        <v>191</v>
      </c>
      <c r="C5" s="84" t="s">
        <v>192</v>
      </c>
      <c r="D5" s="84"/>
      <c r="E5" s="85">
        <v>2012</v>
      </c>
      <c r="F5" s="85">
        <v>2013</v>
      </c>
      <c r="G5" s="86" t="s">
        <v>193</v>
      </c>
      <c r="H5" s="86" t="s">
        <v>194</v>
      </c>
      <c r="I5" s="86"/>
      <c r="J5" s="87" t="s">
        <v>195</v>
      </c>
      <c r="K5" s="88" t="s">
        <v>192</v>
      </c>
      <c r="L5" s="88"/>
      <c r="M5" s="89">
        <v>2012</v>
      </c>
      <c r="N5" s="90">
        <v>2013</v>
      </c>
      <c r="O5" s="91" t="s">
        <v>193</v>
      </c>
      <c r="P5" s="92"/>
    </row>
    <row r="6" spans="2:18" x14ac:dyDescent="0.25">
      <c r="B6" s="93"/>
      <c r="C6" s="94"/>
      <c r="D6" s="94"/>
      <c r="E6" s="95"/>
      <c r="F6" s="96"/>
      <c r="G6" s="96"/>
      <c r="H6" s="96"/>
      <c r="I6" s="96"/>
      <c r="J6" s="97"/>
      <c r="K6" s="98"/>
      <c r="L6" s="98"/>
      <c r="M6" s="99"/>
      <c r="N6" s="99"/>
      <c r="O6" s="99"/>
      <c r="P6" s="100"/>
    </row>
    <row r="7" spans="2:18" x14ac:dyDescent="0.25">
      <c r="B7" s="101" t="s">
        <v>196</v>
      </c>
      <c r="C7" s="102" t="s">
        <v>197</v>
      </c>
      <c r="D7" s="102"/>
      <c r="E7" s="103"/>
      <c r="F7" s="104"/>
      <c r="G7" s="104"/>
      <c r="H7" s="104"/>
      <c r="I7" s="104"/>
      <c r="J7" s="105" t="s">
        <v>198</v>
      </c>
      <c r="K7" s="102" t="s">
        <v>199</v>
      </c>
      <c r="L7" s="102"/>
      <c r="M7" s="106"/>
      <c r="N7" s="106"/>
      <c r="O7" s="106"/>
      <c r="P7" s="107"/>
    </row>
    <row r="8" spans="2:18" x14ac:dyDescent="0.25">
      <c r="B8" s="108" t="s">
        <v>200</v>
      </c>
      <c r="C8" s="109" t="s">
        <v>201</v>
      </c>
      <c r="D8" s="109"/>
      <c r="E8" s="103"/>
      <c r="F8" s="103"/>
      <c r="G8" s="103"/>
      <c r="H8" s="103"/>
      <c r="I8" s="103"/>
      <c r="J8" s="110" t="s">
        <v>202</v>
      </c>
      <c r="K8" s="109" t="s">
        <v>203</v>
      </c>
      <c r="L8" s="111"/>
      <c r="M8" s="112"/>
      <c r="N8" s="113"/>
      <c r="O8" s="95"/>
      <c r="P8" s="114"/>
    </row>
    <row r="9" spans="2:18" x14ac:dyDescent="0.25">
      <c r="B9" s="115" t="s">
        <v>142</v>
      </c>
      <c r="C9" s="109" t="s">
        <v>204</v>
      </c>
      <c r="D9" s="109"/>
      <c r="E9" s="103"/>
      <c r="F9" s="103"/>
      <c r="G9" s="95"/>
      <c r="H9" s="95"/>
      <c r="I9" s="95"/>
      <c r="J9" s="116" t="s">
        <v>205</v>
      </c>
      <c r="K9" s="109" t="s">
        <v>206</v>
      </c>
      <c r="L9" s="111"/>
      <c r="M9" s="112"/>
      <c r="N9" s="113"/>
      <c r="O9" s="95"/>
      <c r="P9" s="114"/>
    </row>
    <row r="10" spans="2:18" x14ac:dyDescent="0.25">
      <c r="B10" s="117" t="s">
        <v>142</v>
      </c>
      <c r="C10" s="111" t="s">
        <v>207</v>
      </c>
      <c r="D10" s="111"/>
      <c r="E10" s="95">
        <v>371425</v>
      </c>
      <c r="F10" s="95"/>
      <c r="G10" s="95"/>
      <c r="H10" s="95"/>
      <c r="I10" s="95"/>
      <c r="J10" s="118" t="s">
        <v>205</v>
      </c>
      <c r="K10" s="111" t="s">
        <v>208</v>
      </c>
      <c r="L10" s="111"/>
      <c r="M10" s="95">
        <v>32500</v>
      </c>
      <c r="N10" s="95"/>
      <c r="O10" s="95"/>
      <c r="P10" s="114"/>
    </row>
    <row r="11" spans="2:18" x14ac:dyDescent="0.25">
      <c r="B11" s="108" t="s">
        <v>143</v>
      </c>
      <c r="C11" s="109" t="s">
        <v>209</v>
      </c>
      <c r="D11" s="111"/>
      <c r="E11" s="95"/>
      <c r="F11" s="95"/>
      <c r="G11" s="95"/>
      <c r="H11" s="95"/>
      <c r="I11" s="95"/>
      <c r="J11" s="118" t="s">
        <v>210</v>
      </c>
      <c r="K11" s="111" t="s">
        <v>211</v>
      </c>
      <c r="L11" s="119" t="s">
        <v>155</v>
      </c>
      <c r="M11" s="95">
        <v>638</v>
      </c>
      <c r="N11" s="95"/>
      <c r="O11" s="95"/>
      <c r="P11" s="120" t="s">
        <v>156</v>
      </c>
    </row>
    <row r="12" spans="2:18" x14ac:dyDescent="0.25">
      <c r="B12" s="115" t="s">
        <v>143</v>
      </c>
      <c r="C12" s="109" t="s">
        <v>212</v>
      </c>
      <c r="D12" s="111"/>
      <c r="E12" s="95"/>
      <c r="F12" s="95"/>
      <c r="G12" s="95"/>
      <c r="H12" s="95"/>
      <c r="I12" s="95"/>
      <c r="J12" s="121" t="s">
        <v>213</v>
      </c>
      <c r="K12" s="109" t="s">
        <v>214</v>
      </c>
      <c r="L12" s="111"/>
      <c r="M12" s="95"/>
      <c r="N12" s="95"/>
      <c r="O12" s="95"/>
      <c r="P12" s="114"/>
    </row>
    <row r="13" spans="2:18" x14ac:dyDescent="0.25">
      <c r="B13" s="117" t="s">
        <v>143</v>
      </c>
      <c r="C13" s="111" t="s">
        <v>215</v>
      </c>
      <c r="D13" s="111"/>
      <c r="E13" s="95">
        <v>32500</v>
      </c>
      <c r="F13" s="95"/>
      <c r="G13" s="95"/>
      <c r="H13" s="95"/>
      <c r="I13" s="95"/>
      <c r="J13" s="122" t="s">
        <v>216</v>
      </c>
      <c r="K13" s="109" t="s">
        <v>217</v>
      </c>
      <c r="L13" s="111"/>
      <c r="M13" s="95"/>
      <c r="N13" s="95"/>
      <c r="O13" s="95"/>
      <c r="P13" s="114"/>
    </row>
    <row r="14" spans="2:18" x14ac:dyDescent="0.25">
      <c r="B14" s="108" t="s">
        <v>218</v>
      </c>
      <c r="C14" s="109" t="s">
        <v>219</v>
      </c>
      <c r="D14" s="111"/>
      <c r="E14" s="95"/>
      <c r="F14" s="95"/>
      <c r="G14" s="95"/>
      <c r="H14" s="95"/>
      <c r="I14" s="95"/>
      <c r="J14" s="123" t="s">
        <v>220</v>
      </c>
      <c r="K14" s="111" t="s">
        <v>221</v>
      </c>
      <c r="L14" s="111"/>
      <c r="M14" s="95">
        <v>17540</v>
      </c>
      <c r="N14" s="95"/>
      <c r="O14" s="95"/>
      <c r="P14" s="114"/>
    </row>
    <row r="15" spans="2:18" x14ac:dyDescent="0.25">
      <c r="B15" s="124" t="s">
        <v>222</v>
      </c>
      <c r="C15" s="109" t="s">
        <v>223</v>
      </c>
      <c r="D15" s="111"/>
      <c r="E15" s="95"/>
      <c r="F15" s="95"/>
      <c r="G15" s="95"/>
      <c r="H15" s="95"/>
      <c r="I15" s="95"/>
      <c r="J15" s="121" t="s">
        <v>224</v>
      </c>
      <c r="K15" s="109" t="s">
        <v>225</v>
      </c>
      <c r="L15" s="111"/>
      <c r="M15" s="95"/>
      <c r="N15" s="95"/>
      <c r="O15" s="95"/>
      <c r="P15" s="114"/>
    </row>
    <row r="16" spans="2:18" x14ac:dyDescent="0.25">
      <c r="B16" s="117" t="s">
        <v>226</v>
      </c>
      <c r="C16" s="111" t="s">
        <v>227</v>
      </c>
      <c r="D16" s="111"/>
      <c r="E16" s="95">
        <v>519</v>
      </c>
      <c r="F16" s="95"/>
      <c r="G16" s="95"/>
      <c r="H16" s="95"/>
      <c r="I16" s="95"/>
      <c r="J16" s="122" t="s">
        <v>228</v>
      </c>
      <c r="K16" s="109" t="s">
        <v>229</v>
      </c>
      <c r="L16" s="111"/>
      <c r="M16" s="95"/>
      <c r="N16" s="95"/>
      <c r="O16" s="95"/>
      <c r="P16" s="114"/>
    </row>
    <row r="17" spans="2:22" x14ac:dyDescent="0.25">
      <c r="B17" s="108" t="s">
        <v>230</v>
      </c>
      <c r="C17" s="109" t="s">
        <v>231</v>
      </c>
      <c r="D17" s="111"/>
      <c r="E17" s="95"/>
      <c r="F17" s="95"/>
      <c r="G17" s="95"/>
      <c r="H17" s="95"/>
      <c r="I17" s="95"/>
      <c r="J17" s="118" t="s">
        <v>148</v>
      </c>
      <c r="K17" s="111" t="s">
        <v>232</v>
      </c>
      <c r="L17" s="111"/>
      <c r="M17" s="95">
        <v>11656</v>
      </c>
      <c r="N17" s="95"/>
      <c r="O17" s="95"/>
      <c r="P17" s="114"/>
    </row>
    <row r="18" spans="2:22" x14ac:dyDescent="0.25">
      <c r="B18" s="115" t="s">
        <v>233</v>
      </c>
      <c r="C18" s="109" t="s">
        <v>234</v>
      </c>
      <c r="D18" s="111"/>
      <c r="E18" s="95"/>
      <c r="F18" s="95"/>
      <c r="G18" s="95"/>
      <c r="H18" s="95"/>
      <c r="I18" s="95"/>
      <c r="J18" s="118" t="s">
        <v>235</v>
      </c>
      <c r="K18" s="111" t="s">
        <v>236</v>
      </c>
      <c r="L18" s="111"/>
      <c r="M18" s="95">
        <v>4196</v>
      </c>
      <c r="N18" s="95"/>
      <c r="O18" s="95"/>
      <c r="P18" s="114"/>
    </row>
    <row r="19" spans="2:22" x14ac:dyDescent="0.25">
      <c r="B19" s="117" t="s">
        <v>237</v>
      </c>
      <c r="C19" s="111" t="s">
        <v>238</v>
      </c>
      <c r="D19" s="111"/>
      <c r="E19" s="95">
        <v>1200</v>
      </c>
      <c r="F19" s="95"/>
      <c r="G19" s="95"/>
      <c r="H19" s="95"/>
      <c r="I19" s="95"/>
      <c r="J19" s="122" t="s">
        <v>239</v>
      </c>
      <c r="K19" s="109" t="s">
        <v>240</v>
      </c>
      <c r="L19" s="111"/>
      <c r="M19" s="95"/>
      <c r="N19" s="95"/>
      <c r="O19" s="95"/>
      <c r="P19" s="114"/>
    </row>
    <row r="20" spans="2:22" x14ac:dyDescent="0.25">
      <c r="B20" s="117"/>
      <c r="C20" s="111"/>
      <c r="D20" s="111"/>
      <c r="E20" s="95"/>
      <c r="F20" s="95"/>
      <c r="G20" s="95"/>
      <c r="H20" s="95"/>
      <c r="I20" s="95"/>
      <c r="J20" s="118" t="s">
        <v>147</v>
      </c>
      <c r="K20" s="111" t="s">
        <v>241</v>
      </c>
      <c r="L20" s="111"/>
      <c r="M20" s="95">
        <v>16490</v>
      </c>
      <c r="N20" s="95"/>
      <c r="O20" s="95"/>
      <c r="P20" s="114"/>
    </row>
    <row r="21" spans="2:22" x14ac:dyDescent="0.25">
      <c r="B21" s="117"/>
      <c r="C21" s="111"/>
      <c r="D21" s="111"/>
      <c r="E21" s="95"/>
      <c r="F21" s="95"/>
      <c r="G21" s="95"/>
      <c r="H21" s="95"/>
      <c r="I21" s="95"/>
      <c r="J21" s="125"/>
      <c r="K21" s="111"/>
      <c r="L21" s="111"/>
      <c r="M21" s="95"/>
      <c r="N21" s="95"/>
      <c r="O21" s="95"/>
      <c r="P21" s="114"/>
    </row>
    <row r="22" spans="2:22" x14ac:dyDescent="0.25">
      <c r="B22" s="126" t="s">
        <v>242</v>
      </c>
      <c r="C22" s="127"/>
      <c r="D22" s="127"/>
      <c r="E22" s="128">
        <f>SUM(E10:E19)</f>
        <v>405644</v>
      </c>
      <c r="F22" s="129"/>
      <c r="G22" s="130"/>
      <c r="H22" s="131"/>
      <c r="I22" s="131"/>
      <c r="J22" s="126" t="s">
        <v>242</v>
      </c>
      <c r="K22" s="127"/>
      <c r="L22" s="127"/>
      <c r="M22" s="128">
        <f>M10-M11+SUM(M14:M20)</f>
        <v>81744</v>
      </c>
      <c r="N22" s="129"/>
      <c r="O22" s="130"/>
      <c r="P22" s="132"/>
    </row>
    <row r="23" spans="2:22" x14ac:dyDescent="0.25">
      <c r="B23" s="133"/>
      <c r="C23" s="111"/>
      <c r="D23" s="111"/>
      <c r="E23" s="95"/>
      <c r="F23" s="95"/>
      <c r="G23" s="134"/>
      <c r="H23" s="135"/>
      <c r="I23" s="135"/>
      <c r="J23" s="136" t="s">
        <v>243</v>
      </c>
      <c r="K23" s="137"/>
      <c r="L23" s="137"/>
      <c r="M23" s="138">
        <f>M22</f>
        <v>81744</v>
      </c>
      <c r="N23" s="139"/>
      <c r="O23" s="139"/>
      <c r="P23" s="140"/>
    </row>
    <row r="24" spans="2:22" x14ac:dyDescent="0.25">
      <c r="B24" s="133"/>
      <c r="C24" s="111"/>
      <c r="D24" s="111"/>
      <c r="E24" s="95"/>
      <c r="F24" s="95"/>
      <c r="G24" s="134"/>
      <c r="H24" s="135"/>
      <c r="I24" s="135"/>
      <c r="J24" s="108"/>
      <c r="K24" s="111"/>
      <c r="L24" s="111"/>
      <c r="M24" s="103"/>
      <c r="N24" s="95"/>
      <c r="O24" s="95"/>
      <c r="P24" s="114"/>
    </row>
    <row r="25" spans="2:22" x14ac:dyDescent="0.25">
      <c r="B25" s="141" t="s">
        <v>244</v>
      </c>
      <c r="C25" s="109" t="s">
        <v>245</v>
      </c>
      <c r="D25" s="111"/>
      <c r="E25" s="95"/>
      <c r="F25" s="95"/>
      <c r="G25" s="95"/>
      <c r="H25" s="95"/>
      <c r="I25" s="95"/>
      <c r="J25" s="108"/>
      <c r="K25" s="111"/>
      <c r="L25" s="111"/>
      <c r="M25" s="103"/>
      <c r="N25" s="95"/>
      <c r="O25" s="95"/>
      <c r="P25" s="114"/>
    </row>
    <row r="26" spans="2:22" x14ac:dyDescent="0.25">
      <c r="B26" s="115" t="s">
        <v>233</v>
      </c>
      <c r="C26" s="109" t="s">
        <v>246</v>
      </c>
      <c r="D26" s="111"/>
      <c r="E26" s="95"/>
      <c r="F26" s="95"/>
      <c r="G26" s="95"/>
      <c r="H26" s="95"/>
      <c r="I26" s="95"/>
      <c r="J26" s="108"/>
      <c r="K26" s="111"/>
      <c r="L26" s="111"/>
      <c r="M26" s="103"/>
      <c r="N26" s="95"/>
      <c r="O26" s="95"/>
      <c r="P26" s="114"/>
      <c r="U26" s="142"/>
      <c r="V26" s="142"/>
    </row>
    <row r="27" spans="2:22" x14ac:dyDescent="0.25">
      <c r="B27" s="117" t="s">
        <v>237</v>
      </c>
      <c r="C27" s="111" t="s">
        <v>247</v>
      </c>
      <c r="D27" s="111"/>
      <c r="E27" s="95">
        <v>600</v>
      </c>
      <c r="F27" s="95"/>
      <c r="G27" s="95"/>
      <c r="H27" s="95"/>
      <c r="I27" s="95"/>
      <c r="J27" s="133"/>
      <c r="K27" s="111"/>
      <c r="L27" s="111"/>
      <c r="M27" s="95"/>
      <c r="N27" s="95"/>
      <c r="O27" s="95"/>
      <c r="P27" s="114"/>
      <c r="U27" s="142"/>
      <c r="V27" s="142"/>
    </row>
    <row r="28" spans="2:22" x14ac:dyDescent="0.25">
      <c r="B28" s="141"/>
      <c r="C28" s="109"/>
      <c r="D28" s="111"/>
      <c r="E28" s="95"/>
      <c r="F28" s="95"/>
      <c r="G28" s="134"/>
      <c r="H28" s="135"/>
      <c r="I28" s="135"/>
      <c r="J28" s="105" t="s">
        <v>248</v>
      </c>
      <c r="K28" s="109" t="s">
        <v>249</v>
      </c>
      <c r="L28" s="111"/>
      <c r="M28" s="95"/>
      <c r="N28" s="95"/>
      <c r="O28" s="95"/>
      <c r="P28" s="114"/>
      <c r="U28" s="142"/>
      <c r="V28" s="142"/>
    </row>
    <row r="29" spans="2:22" x14ac:dyDescent="0.25">
      <c r="B29" s="108" t="s">
        <v>130</v>
      </c>
      <c r="C29" s="109" t="s">
        <v>250</v>
      </c>
      <c r="D29" s="111"/>
      <c r="E29" s="95"/>
      <c r="F29" s="95"/>
      <c r="G29" s="95"/>
      <c r="H29" s="95"/>
      <c r="I29" s="95"/>
      <c r="J29" s="108" t="s">
        <v>251</v>
      </c>
      <c r="K29" s="143" t="s">
        <v>252</v>
      </c>
      <c r="L29" s="144"/>
      <c r="M29" s="95"/>
      <c r="N29" s="95"/>
      <c r="O29" s="112"/>
      <c r="P29" s="145"/>
      <c r="U29" s="142"/>
      <c r="V29" s="142"/>
    </row>
    <row r="30" spans="2:22" x14ac:dyDescent="0.25">
      <c r="B30" s="115" t="s">
        <v>130</v>
      </c>
      <c r="C30" s="109" t="s">
        <v>253</v>
      </c>
      <c r="D30" s="111"/>
      <c r="E30" s="95"/>
      <c r="F30" s="112"/>
      <c r="G30" s="112"/>
      <c r="H30" s="112"/>
      <c r="I30" s="112"/>
      <c r="J30" s="122" t="s">
        <v>149</v>
      </c>
      <c r="K30" s="146" t="s">
        <v>254</v>
      </c>
      <c r="L30" s="147"/>
      <c r="M30" s="112"/>
      <c r="N30" s="112"/>
      <c r="O30" s="112"/>
      <c r="P30" s="145"/>
      <c r="U30" s="142"/>
      <c r="V30" s="142"/>
    </row>
    <row r="31" spans="2:22" x14ac:dyDescent="0.25">
      <c r="B31" s="117" t="s">
        <v>255</v>
      </c>
      <c r="C31" s="111" t="s">
        <v>256</v>
      </c>
      <c r="D31" s="148"/>
      <c r="E31" s="95">
        <v>80000</v>
      </c>
      <c r="F31" s="112"/>
      <c r="G31" s="96"/>
      <c r="H31" s="96"/>
      <c r="I31" s="96"/>
      <c r="J31" s="117" t="s">
        <v>149</v>
      </c>
      <c r="K31" s="147" t="s">
        <v>257</v>
      </c>
      <c r="L31" s="147"/>
      <c r="M31" s="112">
        <v>500000</v>
      </c>
      <c r="N31" s="112"/>
      <c r="O31" s="147"/>
      <c r="P31" s="149"/>
      <c r="U31" s="142"/>
      <c r="V31" s="142"/>
    </row>
    <row r="32" spans="2:22" x14ac:dyDescent="0.25">
      <c r="B32" s="118" t="s">
        <v>144</v>
      </c>
      <c r="C32" s="150" t="s">
        <v>258</v>
      </c>
      <c r="D32" s="147"/>
      <c r="E32" s="112">
        <v>120000</v>
      </c>
      <c r="F32" s="95"/>
      <c r="G32" s="96"/>
      <c r="H32" s="96"/>
      <c r="I32" s="96"/>
      <c r="J32" s="108" t="s">
        <v>259</v>
      </c>
      <c r="K32" s="102" t="s">
        <v>260</v>
      </c>
      <c r="L32" s="102"/>
      <c r="M32" s="151"/>
      <c r="N32" s="151"/>
      <c r="O32" s="147"/>
      <c r="P32" s="149"/>
      <c r="U32" s="142"/>
      <c r="V32" s="142"/>
    </row>
    <row r="33" spans="2:22" x14ac:dyDescent="0.25">
      <c r="B33" s="152" t="s">
        <v>145</v>
      </c>
      <c r="C33" s="150" t="s">
        <v>261</v>
      </c>
      <c r="D33" s="147"/>
      <c r="E33" s="112">
        <v>50000</v>
      </c>
      <c r="F33" s="95"/>
      <c r="G33" s="96"/>
      <c r="H33" s="96"/>
      <c r="I33" s="96"/>
      <c r="J33" s="115" t="s">
        <v>262</v>
      </c>
      <c r="K33" s="143" t="s">
        <v>263</v>
      </c>
      <c r="L33" s="144"/>
      <c r="M33" s="153"/>
      <c r="N33" s="153"/>
      <c r="O33" s="153"/>
      <c r="P33" s="154"/>
      <c r="U33" s="142"/>
      <c r="V33" s="142"/>
    </row>
    <row r="34" spans="2:22" x14ac:dyDescent="0.25">
      <c r="B34" s="117" t="s">
        <v>146</v>
      </c>
      <c r="C34" s="94" t="s">
        <v>264</v>
      </c>
      <c r="D34" s="102"/>
      <c r="E34" s="95">
        <v>10000</v>
      </c>
      <c r="F34" s="112"/>
      <c r="G34" s="153"/>
      <c r="H34" s="153"/>
      <c r="I34" s="96"/>
      <c r="J34" s="118" t="s">
        <v>265</v>
      </c>
      <c r="K34" s="144" t="s">
        <v>266</v>
      </c>
      <c r="L34" s="144"/>
      <c r="M34" s="95">
        <v>1539</v>
      </c>
      <c r="N34" s="95"/>
      <c r="O34" s="153"/>
      <c r="P34" s="154"/>
      <c r="U34" s="142"/>
      <c r="V34" s="142"/>
    </row>
    <row r="35" spans="2:22" x14ac:dyDescent="0.25">
      <c r="B35" s="115" t="s">
        <v>267</v>
      </c>
      <c r="C35" s="102" t="s">
        <v>268</v>
      </c>
      <c r="D35" s="148"/>
      <c r="E35" s="95"/>
      <c r="F35" s="147"/>
      <c r="G35" s="95"/>
      <c r="H35" s="95"/>
      <c r="I35" s="96"/>
      <c r="J35" s="117" t="s">
        <v>269</v>
      </c>
      <c r="K35" s="144" t="s">
        <v>270</v>
      </c>
      <c r="L35" s="144"/>
      <c r="M35" s="95">
        <v>11694</v>
      </c>
      <c r="N35" s="95"/>
      <c r="O35" s="153"/>
      <c r="P35" s="154"/>
    </row>
    <row r="36" spans="2:22" x14ac:dyDescent="0.25">
      <c r="B36" s="118" t="s">
        <v>271</v>
      </c>
      <c r="C36" s="94" t="s">
        <v>272</v>
      </c>
      <c r="D36" s="119" t="s">
        <v>155</v>
      </c>
      <c r="E36" s="112">
        <v>1600</v>
      </c>
      <c r="F36" s="95"/>
      <c r="G36" s="95"/>
      <c r="H36" s="95"/>
      <c r="I36" s="155" t="s">
        <v>156</v>
      </c>
      <c r="J36" s="115" t="s">
        <v>273</v>
      </c>
      <c r="K36" s="146" t="s">
        <v>274</v>
      </c>
      <c r="L36" s="147"/>
      <c r="M36" s="147"/>
      <c r="N36" s="147"/>
      <c r="O36" s="156"/>
      <c r="P36" s="157"/>
    </row>
    <row r="37" spans="2:22" x14ac:dyDescent="0.25">
      <c r="B37" s="118" t="s">
        <v>275</v>
      </c>
      <c r="C37" s="158" t="s">
        <v>276</v>
      </c>
      <c r="D37" s="119" t="s">
        <v>155</v>
      </c>
      <c r="E37" s="112">
        <v>8667</v>
      </c>
      <c r="F37" s="95"/>
      <c r="G37" s="95"/>
      <c r="H37" s="95"/>
      <c r="I37" s="155" t="s">
        <v>156</v>
      </c>
      <c r="J37" s="117" t="s">
        <v>277</v>
      </c>
      <c r="K37" s="147" t="s">
        <v>278</v>
      </c>
      <c r="L37" s="147"/>
      <c r="M37" s="147">
        <v>50000</v>
      </c>
      <c r="N37" s="147"/>
      <c r="O37" s="96"/>
      <c r="P37" s="159"/>
    </row>
    <row r="38" spans="2:22" x14ac:dyDescent="0.25">
      <c r="B38" s="118" t="s">
        <v>279</v>
      </c>
      <c r="C38" s="94" t="s">
        <v>280</v>
      </c>
      <c r="D38" s="119" t="s">
        <v>155</v>
      </c>
      <c r="E38" s="95">
        <v>10000</v>
      </c>
      <c r="F38" s="153"/>
      <c r="G38" s="95"/>
      <c r="H38" s="95"/>
      <c r="I38" s="155" t="s">
        <v>156</v>
      </c>
      <c r="J38" s="117"/>
      <c r="K38" s="147"/>
      <c r="L38" s="147"/>
      <c r="M38" s="147"/>
      <c r="N38" s="147"/>
      <c r="O38" s="96"/>
      <c r="P38" s="159"/>
    </row>
    <row r="39" spans="2:22" x14ac:dyDescent="0.25">
      <c r="B39" s="118" t="s">
        <v>281</v>
      </c>
      <c r="C39" s="160" t="s">
        <v>282</v>
      </c>
      <c r="D39" s="119" t="s">
        <v>155</v>
      </c>
      <c r="E39" s="95">
        <v>1000</v>
      </c>
      <c r="F39" s="161"/>
      <c r="G39" s="161"/>
      <c r="H39" s="161"/>
      <c r="I39" s="155" t="s">
        <v>156</v>
      </c>
      <c r="J39" s="117"/>
      <c r="K39" s="147"/>
      <c r="L39" s="147"/>
      <c r="M39" s="147"/>
      <c r="N39" s="147"/>
      <c r="O39" s="96"/>
      <c r="P39" s="159"/>
    </row>
    <row r="40" spans="2:22" ht="15.75" thickBot="1" x14ac:dyDescent="0.3">
      <c r="B40" s="125"/>
      <c r="C40" s="144"/>
      <c r="D40" s="144"/>
      <c r="E40" s="153"/>
      <c r="F40" s="162"/>
      <c r="G40" s="162"/>
      <c r="H40" s="162"/>
      <c r="I40" s="95"/>
      <c r="J40" s="163"/>
      <c r="K40" s="147"/>
      <c r="L40" s="147"/>
      <c r="M40" s="112"/>
      <c r="N40" s="112"/>
      <c r="O40" s="112"/>
      <c r="P40" s="145"/>
    </row>
    <row r="41" spans="2:22" ht="17.25" thickTop="1" thickBot="1" x14ac:dyDescent="0.3">
      <c r="B41" s="164"/>
      <c r="C41" s="161"/>
      <c r="D41" s="161"/>
      <c r="E41" s="165"/>
      <c r="F41" s="166"/>
      <c r="G41" s="166"/>
      <c r="H41" s="166"/>
      <c r="I41" s="161"/>
      <c r="J41" s="167"/>
      <c r="K41" s="137"/>
      <c r="L41" s="137"/>
      <c r="M41" s="168"/>
      <c r="N41" s="168"/>
      <c r="O41" s="168"/>
      <c r="P41" s="169"/>
    </row>
    <row r="42" spans="2:22" ht="15.75" thickBot="1" x14ac:dyDescent="0.3">
      <c r="B42" s="170" t="s">
        <v>283</v>
      </c>
      <c r="C42" s="171"/>
      <c r="D42" s="171"/>
      <c r="E42" s="172">
        <f>SUM(E31:E35)-SUM(E36:E39)+E27</f>
        <v>239333</v>
      </c>
      <c r="I42" s="162"/>
      <c r="J42" s="173" t="s">
        <v>284</v>
      </c>
      <c r="K42" s="174"/>
      <c r="L42" s="174"/>
      <c r="M42" s="172">
        <f>SUM(M31:M41)</f>
        <v>563233</v>
      </c>
      <c r="N42" s="175"/>
      <c r="O42" s="175"/>
      <c r="P42" s="176"/>
    </row>
    <row r="43" spans="2:22" ht="17.25" thickTop="1" thickBot="1" x14ac:dyDescent="0.3">
      <c r="B43" s="438" t="s">
        <v>285</v>
      </c>
      <c r="C43" s="439"/>
      <c r="D43" s="177"/>
      <c r="E43" s="166">
        <f>E42+E22</f>
        <v>644977</v>
      </c>
      <c r="I43" s="166"/>
      <c r="J43" s="438" t="s">
        <v>286</v>
      </c>
      <c r="K43" s="439"/>
      <c r="L43" s="177"/>
      <c r="M43" s="166">
        <f>M42+M23</f>
        <v>644977</v>
      </c>
      <c r="N43" s="178"/>
      <c r="O43" s="178"/>
      <c r="P43" s="179"/>
    </row>
    <row r="46" spans="2:22" x14ac:dyDescent="0.25">
      <c r="B46" s="180"/>
      <c r="J46" s="180"/>
    </row>
    <row r="47" spans="2:22" x14ac:dyDescent="0.25">
      <c r="B47" s="180"/>
      <c r="J47" s="180"/>
    </row>
  </sheetData>
  <mergeCells count="5">
    <mergeCell ref="B1:N1"/>
    <mergeCell ref="B2:N2"/>
    <mergeCell ref="B3:N3"/>
    <mergeCell ref="B43:C43"/>
    <mergeCell ref="J43:K4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30" zoomScaleNormal="130" workbookViewId="0">
      <selection activeCell="H18" sqref="H18"/>
    </sheetView>
  </sheetViews>
  <sheetFormatPr defaultColWidth="13.5703125" defaultRowHeight="15" x14ac:dyDescent="0.25"/>
  <cols>
    <col min="1" max="1" width="30.7109375" style="15" customWidth="1"/>
    <col min="2" max="5" width="13.5703125" style="15"/>
    <col min="6" max="6" width="12" style="15" customWidth="1"/>
    <col min="7" max="16384" width="13.5703125" style="15"/>
  </cols>
  <sheetData>
    <row r="1" spans="1:7" x14ac:dyDescent="0.25">
      <c r="A1" s="479" t="s">
        <v>287</v>
      </c>
      <c r="B1" s="479"/>
      <c r="C1" s="479"/>
      <c r="D1" s="479"/>
      <c r="E1" s="479"/>
      <c r="F1" s="479"/>
      <c r="G1" s="479"/>
    </row>
    <row r="2" spans="1:7" x14ac:dyDescent="0.25">
      <c r="A2" s="479" t="s">
        <v>190</v>
      </c>
      <c r="B2" s="479"/>
      <c r="C2" s="479"/>
      <c r="D2" s="479"/>
      <c r="E2" s="479"/>
      <c r="F2" s="479"/>
      <c r="G2" s="479"/>
    </row>
    <row r="3" spans="1:7" x14ac:dyDescent="0.25">
      <c r="A3" s="479" t="s">
        <v>161</v>
      </c>
      <c r="B3" s="479"/>
      <c r="C3" s="479"/>
      <c r="D3" s="479"/>
      <c r="E3" s="479"/>
      <c r="F3" s="479"/>
      <c r="G3" s="479"/>
    </row>
    <row r="4" spans="1:7" ht="12.75" customHeight="1" x14ac:dyDescent="0.25">
      <c r="A4" s="181"/>
      <c r="B4" s="181"/>
      <c r="C4" s="181"/>
      <c r="D4" s="181"/>
      <c r="E4" s="181"/>
      <c r="F4" s="181"/>
      <c r="G4" s="181"/>
    </row>
    <row r="5" spans="1:7" s="185" customFormat="1" ht="27" customHeight="1" x14ac:dyDescent="0.25">
      <c r="A5" s="182"/>
      <c r="B5" s="182"/>
      <c r="C5" s="183" t="s">
        <v>288</v>
      </c>
      <c r="D5" s="481" t="s">
        <v>289</v>
      </c>
      <c r="E5" s="481"/>
      <c r="F5" s="184"/>
      <c r="G5" s="182"/>
    </row>
    <row r="6" spans="1:7" ht="45" customHeight="1" x14ac:dyDescent="0.25">
      <c r="A6" s="186" t="s">
        <v>290</v>
      </c>
      <c r="B6" s="186" t="str">
        <f>[5]BP!E25</f>
        <v>Capital Social Integralizado</v>
      </c>
      <c r="C6" s="186" t="s">
        <v>291</v>
      </c>
      <c r="D6" s="186" t="str">
        <f>[5]BP!E28</f>
        <v>Reserva Legal</v>
      </c>
      <c r="E6" s="186" t="s">
        <v>292</v>
      </c>
      <c r="F6" s="186" t="str">
        <f>[5]Razonetes!F83</f>
        <v>Luc.ou Prej. Acum.</v>
      </c>
      <c r="G6" s="186" t="s">
        <v>54</v>
      </c>
    </row>
    <row r="7" spans="1:7" x14ac:dyDescent="0.25">
      <c r="A7" s="187" t="s">
        <v>293</v>
      </c>
      <c r="B7" s="188">
        <v>0</v>
      </c>
      <c r="C7" s="188">
        <v>0</v>
      </c>
      <c r="D7" s="189">
        <v>0</v>
      </c>
      <c r="E7" s="189">
        <v>0</v>
      </c>
      <c r="F7" s="188">
        <v>0</v>
      </c>
      <c r="G7" s="189">
        <f>SUM(B7:F7)</f>
        <v>0</v>
      </c>
    </row>
    <row r="8" spans="1:7" x14ac:dyDescent="0.25">
      <c r="A8" s="190" t="s">
        <v>294</v>
      </c>
      <c r="B8" s="191">
        <f>'[6]Lanç x1'!E7</f>
        <v>500000</v>
      </c>
      <c r="C8" s="191">
        <f>'[6]Lanç x1'!E8</f>
        <v>50000</v>
      </c>
      <c r="D8" s="191"/>
      <c r="E8" s="191"/>
      <c r="F8" s="191"/>
      <c r="G8" s="192">
        <f>SUM(B8:F8)</f>
        <v>550000</v>
      </c>
    </row>
    <row r="9" spans="1:7" x14ac:dyDescent="0.25">
      <c r="A9" s="193" t="s">
        <v>295</v>
      </c>
      <c r="B9" s="194"/>
      <c r="C9" s="194"/>
      <c r="D9" s="194"/>
      <c r="E9" s="194"/>
      <c r="F9" s="194"/>
      <c r="G9" s="192">
        <f t="shared" ref="G9:G16" si="0">SUM(B9:F9)</f>
        <v>0</v>
      </c>
    </row>
    <row r="10" spans="1:7" x14ac:dyDescent="0.25">
      <c r="A10" s="193" t="s">
        <v>296</v>
      </c>
      <c r="B10" s="194"/>
      <c r="C10" s="194"/>
      <c r="D10" s="194"/>
      <c r="E10" s="194"/>
      <c r="F10" s="195">
        <f>'[6]DRE x1'!E44</f>
        <v>30772.552799999998</v>
      </c>
      <c r="G10" s="192">
        <f t="shared" si="0"/>
        <v>30772.552799999998</v>
      </c>
    </row>
    <row r="11" spans="1:7" x14ac:dyDescent="0.25">
      <c r="A11" s="193" t="s">
        <v>297</v>
      </c>
      <c r="B11" s="194"/>
      <c r="C11" s="194"/>
      <c r="D11" s="194"/>
      <c r="E11" s="194"/>
      <c r="F11" s="194"/>
      <c r="G11" s="192">
        <f t="shared" si="0"/>
        <v>0</v>
      </c>
    </row>
    <row r="12" spans="1:7" x14ac:dyDescent="0.25">
      <c r="A12" s="196" t="s">
        <v>150</v>
      </c>
      <c r="B12" s="194"/>
      <c r="C12" s="194"/>
      <c r="D12" s="197">
        <f>-F12</f>
        <v>1539</v>
      </c>
      <c r="E12" s="194"/>
      <c r="F12" s="194">
        <f>-'BP  2012'!M34</f>
        <v>-1539</v>
      </c>
      <c r="G12" s="192">
        <f t="shared" si="0"/>
        <v>0</v>
      </c>
    </row>
    <row r="13" spans="1:7" x14ac:dyDescent="0.25">
      <c r="A13" s="196" t="str">
        <f>[5]Razonetes!B78</f>
        <v>Res. p/ Contingências</v>
      </c>
      <c r="B13" s="194"/>
      <c r="C13" s="194"/>
      <c r="D13" s="194"/>
      <c r="E13" s="194"/>
      <c r="F13" s="194"/>
      <c r="G13" s="192">
        <f t="shared" si="0"/>
        <v>0</v>
      </c>
    </row>
    <row r="14" spans="1:7" x14ac:dyDescent="0.25">
      <c r="A14" s="196" t="s">
        <v>298</v>
      </c>
      <c r="B14" s="194"/>
      <c r="C14" s="194"/>
      <c r="D14" s="194"/>
      <c r="E14" s="194"/>
      <c r="F14" s="194"/>
      <c r="G14" s="192">
        <f t="shared" si="0"/>
        <v>0</v>
      </c>
    </row>
    <row r="15" spans="1:7" x14ac:dyDescent="0.25">
      <c r="A15" s="196" t="str">
        <f>[5]Razonetes!J74</f>
        <v>Reserva Ret. Lucros</v>
      </c>
      <c r="B15" s="194"/>
      <c r="C15" s="194"/>
      <c r="D15" s="194"/>
      <c r="E15" s="197">
        <v>11693.57</v>
      </c>
      <c r="F15" s="194">
        <f>-11693.57</f>
        <v>-11693.57</v>
      </c>
      <c r="G15" s="192">
        <f t="shared" si="0"/>
        <v>0</v>
      </c>
    </row>
    <row r="16" spans="1:7" x14ac:dyDescent="0.25">
      <c r="A16" s="193" t="s">
        <v>299</v>
      </c>
      <c r="B16" s="194"/>
      <c r="C16" s="194"/>
      <c r="D16" s="194"/>
      <c r="E16" s="194"/>
      <c r="F16" s="198">
        <f>-'BP  2012'!M14</f>
        <v>-17540</v>
      </c>
      <c r="G16" s="192">
        <f t="shared" si="0"/>
        <v>-17540</v>
      </c>
    </row>
    <row r="17" spans="1:8" x14ac:dyDescent="0.25">
      <c r="A17" s="199" t="s">
        <v>31</v>
      </c>
      <c r="B17" s="192">
        <f>SUM(B7:B16)</f>
        <v>500000</v>
      </c>
      <c r="C17" s="192">
        <f t="shared" ref="C17:E17" si="1">SUM(C7:C16)</f>
        <v>50000</v>
      </c>
      <c r="D17" s="192">
        <f t="shared" si="1"/>
        <v>1539</v>
      </c>
      <c r="E17" s="192">
        <f t="shared" si="1"/>
        <v>11693.57</v>
      </c>
      <c r="F17" s="192">
        <f>SUM(F7:F16)</f>
        <v>-1.720000000204891E-2</v>
      </c>
      <c r="G17" s="192">
        <f>SUM(B17:F17)</f>
        <v>563232.55279999995</v>
      </c>
      <c r="H17" s="200">
        <f>SUM(G7:G16)</f>
        <v>563232.55279999995</v>
      </c>
    </row>
  </sheetData>
  <mergeCells count="4">
    <mergeCell ref="A1:G1"/>
    <mergeCell ref="A2:G2"/>
    <mergeCell ref="A3:G3"/>
    <mergeCell ref="D5:E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opLeftCell="A8" zoomScale="150" zoomScaleNormal="150" workbookViewId="0">
      <selection activeCell="E22" sqref="E22"/>
    </sheetView>
  </sheetViews>
  <sheetFormatPr defaultColWidth="8.85546875" defaultRowHeight="15" x14ac:dyDescent="0.25"/>
  <cols>
    <col min="1" max="1" width="11.28515625" style="15" bestFit="1" customWidth="1"/>
    <col min="2" max="2" width="11.42578125" style="15" bestFit="1" customWidth="1"/>
    <col min="3" max="3" width="9.28515625" style="15" bestFit="1" customWidth="1"/>
    <col min="4" max="4" width="10.5703125" style="15" bestFit="1" customWidth="1"/>
    <col min="5" max="5" width="11.5703125" style="15" customWidth="1"/>
    <col min="6" max="6" width="19.7109375" style="15" bestFit="1" customWidth="1"/>
    <col min="7" max="7" width="14" style="223" customWidth="1"/>
    <col min="8" max="16384" width="8.85546875" style="15"/>
  </cols>
  <sheetData>
    <row r="1" spans="1:7" x14ac:dyDescent="0.25">
      <c r="A1" s="16" t="s">
        <v>21</v>
      </c>
    </row>
    <row r="2" spans="1:7" x14ac:dyDescent="0.25">
      <c r="A2" s="8" t="s">
        <v>0</v>
      </c>
      <c r="B2" s="9" t="s">
        <v>1</v>
      </c>
      <c r="C2" s="9" t="s">
        <v>2</v>
      </c>
      <c r="D2" s="9" t="s">
        <v>3</v>
      </c>
      <c r="E2" s="225"/>
    </row>
    <row r="3" spans="1:7" x14ac:dyDescent="0.25">
      <c r="A3" s="1" t="s">
        <v>4</v>
      </c>
      <c r="B3" s="5">
        <v>100</v>
      </c>
      <c r="C3" s="6">
        <v>15</v>
      </c>
      <c r="D3" s="6">
        <f>B3*C3</f>
        <v>1500</v>
      </c>
      <c r="E3" s="222"/>
    </row>
    <row r="4" spans="1:7" x14ac:dyDescent="0.25">
      <c r="A4" s="421" t="s">
        <v>5</v>
      </c>
      <c r="B4" s="422">
        <v>200</v>
      </c>
      <c r="C4" s="423">
        <v>13</v>
      </c>
      <c r="D4" s="423">
        <f>B4*C4</f>
        <v>2600</v>
      </c>
      <c r="E4" s="222"/>
    </row>
    <row r="5" spans="1:7" x14ac:dyDescent="0.25">
      <c r="A5" s="2" t="s">
        <v>6</v>
      </c>
      <c r="B5" s="21">
        <v>400</v>
      </c>
      <c r="C5" s="7">
        <v>20</v>
      </c>
      <c r="D5" s="6">
        <f>B5*C5</f>
        <v>8000</v>
      </c>
      <c r="E5" s="222"/>
    </row>
    <row r="6" spans="1:7" x14ac:dyDescent="0.25">
      <c r="E6" s="208"/>
    </row>
    <row r="7" spans="1:7" x14ac:dyDescent="0.25">
      <c r="A7" s="221" t="s">
        <v>61</v>
      </c>
    </row>
    <row r="8" spans="1:7" x14ac:dyDescent="0.25">
      <c r="A8" s="8" t="s">
        <v>0</v>
      </c>
      <c r="B8" s="9" t="s">
        <v>1</v>
      </c>
      <c r="C8" s="9" t="s">
        <v>2</v>
      </c>
      <c r="D8" s="9" t="s">
        <v>3</v>
      </c>
      <c r="E8" s="9" t="s">
        <v>193</v>
      </c>
      <c r="F8" s="9" t="s">
        <v>7</v>
      </c>
      <c r="G8" s="436" t="s">
        <v>647</v>
      </c>
    </row>
    <row r="9" spans="1:7" x14ac:dyDescent="0.25">
      <c r="A9" s="1" t="s">
        <v>4</v>
      </c>
      <c r="B9" s="5">
        <v>100</v>
      </c>
      <c r="C9" s="6">
        <v>18</v>
      </c>
      <c r="D9" s="6">
        <f>B9*C9</f>
        <v>1800</v>
      </c>
      <c r="E9" s="365">
        <f>(C9-C3)*B9</f>
        <v>300</v>
      </c>
      <c r="F9" s="3" t="s">
        <v>8</v>
      </c>
      <c r="G9" s="483" t="s">
        <v>646</v>
      </c>
    </row>
    <row r="10" spans="1:7" x14ac:dyDescent="0.25">
      <c r="A10" s="1" t="s">
        <v>5</v>
      </c>
      <c r="B10" s="5">
        <v>200</v>
      </c>
      <c r="C10" s="6">
        <v>10</v>
      </c>
      <c r="D10" s="6">
        <f>B10*C10</f>
        <v>2000</v>
      </c>
      <c r="E10" s="365">
        <f>(C10-C4)*B10</f>
        <v>-600</v>
      </c>
      <c r="F10" s="3" t="s">
        <v>8</v>
      </c>
      <c r="G10" s="483" t="s">
        <v>648</v>
      </c>
    </row>
    <row r="11" spans="1:7" x14ac:dyDescent="0.25">
      <c r="A11" s="2" t="s">
        <v>6</v>
      </c>
      <c r="B11" s="21">
        <v>400</v>
      </c>
      <c r="C11" s="7">
        <v>25</v>
      </c>
      <c r="D11" s="6">
        <f>B11*C11</f>
        <v>10000</v>
      </c>
      <c r="E11" s="365">
        <f>(C11-C5)*B11</f>
        <v>2000</v>
      </c>
      <c r="F11" s="3" t="s">
        <v>9</v>
      </c>
      <c r="G11" s="483" t="s">
        <v>646</v>
      </c>
    </row>
    <row r="13" spans="1:7" x14ac:dyDescent="0.25">
      <c r="A13" s="221" t="s">
        <v>62</v>
      </c>
    </row>
    <row r="14" spans="1:7" x14ac:dyDescent="0.25">
      <c r="A14" s="8" t="s">
        <v>0</v>
      </c>
      <c r="B14" s="9" t="s">
        <v>1</v>
      </c>
      <c r="C14" s="9" t="s">
        <v>2</v>
      </c>
      <c r="D14" s="9" t="s">
        <v>3</v>
      </c>
      <c r="E14" s="9" t="s">
        <v>193</v>
      </c>
      <c r="F14" s="9" t="s">
        <v>7</v>
      </c>
      <c r="G14" s="436" t="s">
        <v>647</v>
      </c>
    </row>
    <row r="15" spans="1:7" x14ac:dyDescent="0.25">
      <c r="A15" s="1" t="s">
        <v>4</v>
      </c>
      <c r="B15" s="5">
        <v>100</v>
      </c>
      <c r="C15" s="6">
        <v>16</v>
      </c>
      <c r="D15" s="6">
        <f>B15*C15</f>
        <v>1600</v>
      </c>
      <c r="E15" s="365">
        <f>(C15-C9)*B15</f>
        <v>-200</v>
      </c>
      <c r="F15" s="3" t="s">
        <v>8</v>
      </c>
      <c r="G15" s="483" t="s">
        <v>648</v>
      </c>
    </row>
    <row r="16" spans="1:7" x14ac:dyDescent="0.25">
      <c r="A16" s="421" t="s">
        <v>5</v>
      </c>
      <c r="B16" s="422">
        <v>200</v>
      </c>
      <c r="C16" s="423">
        <v>8</v>
      </c>
      <c r="D16" s="423">
        <f>B16*C16</f>
        <v>1600</v>
      </c>
      <c r="E16" s="424">
        <f>(C16-C10)*B16</f>
        <v>-400</v>
      </c>
      <c r="F16" s="425" t="s">
        <v>9</v>
      </c>
      <c r="G16" s="483" t="s">
        <v>648</v>
      </c>
    </row>
    <row r="17" spans="1:7" x14ac:dyDescent="0.25">
      <c r="A17" s="2" t="s">
        <v>6</v>
      </c>
      <c r="B17" s="21">
        <v>200</v>
      </c>
      <c r="C17" s="7">
        <v>26</v>
      </c>
      <c r="D17" s="6">
        <f>B17*C17</f>
        <v>5200</v>
      </c>
      <c r="E17" s="365">
        <f>(C17-C11)*B17</f>
        <v>200</v>
      </c>
      <c r="F17" s="3" t="s">
        <v>8</v>
      </c>
      <c r="G17" s="483" t="s">
        <v>646</v>
      </c>
    </row>
    <row r="19" spans="1:7" x14ac:dyDescent="0.25">
      <c r="A19" s="221" t="s">
        <v>22</v>
      </c>
    </row>
    <row r="20" spans="1:7" x14ac:dyDescent="0.25">
      <c r="A20" s="8" t="s">
        <v>0</v>
      </c>
      <c r="B20" s="9" t="s">
        <v>1</v>
      </c>
      <c r="C20" s="9" t="s">
        <v>2</v>
      </c>
      <c r="D20" s="9" t="s">
        <v>3</v>
      </c>
      <c r="E20" s="9" t="s">
        <v>193</v>
      </c>
      <c r="F20" s="9" t="s">
        <v>7</v>
      </c>
      <c r="G20" s="436" t="s">
        <v>647</v>
      </c>
    </row>
    <row r="21" spans="1:7" x14ac:dyDescent="0.25">
      <c r="A21" s="1" t="s">
        <v>4</v>
      </c>
      <c r="B21" s="5">
        <v>100</v>
      </c>
      <c r="C21" s="6">
        <v>12</v>
      </c>
      <c r="D21" s="6">
        <f>B21*C21</f>
        <v>1200</v>
      </c>
      <c r="E21" s="365">
        <f>(C21-C15)*B21</f>
        <v>-400</v>
      </c>
      <c r="F21" s="3" t="s">
        <v>8</v>
      </c>
      <c r="G21" s="483" t="s">
        <v>648</v>
      </c>
    </row>
    <row r="22" spans="1:7" x14ac:dyDescent="0.25">
      <c r="A22" s="2" t="s">
        <v>6</v>
      </c>
      <c r="B22" s="21">
        <v>200</v>
      </c>
      <c r="C22" s="7">
        <v>30</v>
      </c>
      <c r="D22" s="6">
        <f>B22*C22</f>
        <v>6000</v>
      </c>
      <c r="E22" s="365">
        <f>(C22-C17)*B22</f>
        <v>800</v>
      </c>
      <c r="F22" s="3" t="s">
        <v>8</v>
      </c>
      <c r="G22" s="483" t="s">
        <v>646</v>
      </c>
    </row>
    <row r="23" spans="1:7" x14ac:dyDescent="0.25">
      <c r="G23" s="201"/>
    </row>
    <row r="24" spans="1:7" x14ac:dyDescent="0.25">
      <c r="A24" s="16" t="s">
        <v>332</v>
      </c>
    </row>
    <row r="25" spans="1:7" x14ac:dyDescent="0.25">
      <c r="A25" s="8" t="s">
        <v>0</v>
      </c>
      <c r="B25" s="9" t="s">
        <v>1</v>
      </c>
      <c r="C25" s="9" t="s">
        <v>2</v>
      </c>
      <c r="D25" s="9" t="s">
        <v>3</v>
      </c>
      <c r="E25" s="445" t="s">
        <v>7</v>
      </c>
      <c r="F25" s="445"/>
    </row>
    <row r="26" spans="1:7" s="12" customFormat="1" x14ac:dyDescent="0.25">
      <c r="A26" s="10" t="s">
        <v>10</v>
      </c>
      <c r="B26" s="14">
        <v>500</v>
      </c>
      <c r="C26" s="13">
        <v>15</v>
      </c>
      <c r="D26" s="11">
        <f>B26*C26</f>
        <v>7500</v>
      </c>
      <c r="E26" s="446" t="s">
        <v>11</v>
      </c>
      <c r="F26" s="446"/>
      <c r="G26" s="224"/>
    </row>
    <row r="28" spans="1:7" x14ac:dyDescent="0.25">
      <c r="A28" s="8" t="s">
        <v>0</v>
      </c>
      <c r="B28" s="9" t="s">
        <v>1</v>
      </c>
      <c r="C28" s="9" t="s">
        <v>2</v>
      </c>
      <c r="D28" s="9" t="s">
        <v>3</v>
      </c>
      <c r="E28" s="9" t="s">
        <v>193</v>
      </c>
      <c r="F28" s="225"/>
    </row>
    <row r="29" spans="1:7" x14ac:dyDescent="0.25">
      <c r="A29" s="10" t="s">
        <v>10</v>
      </c>
      <c r="B29" s="14">
        <v>500</v>
      </c>
      <c r="C29" s="13">
        <v>17</v>
      </c>
      <c r="D29" s="13">
        <f>B29*C29</f>
        <v>8500</v>
      </c>
      <c r="E29" s="13">
        <f>(C29-C26)*B29</f>
        <v>1000</v>
      </c>
      <c r="F29" s="201"/>
    </row>
  </sheetData>
  <mergeCells count="2">
    <mergeCell ref="E25:F25"/>
    <mergeCell ref="E26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160" zoomScaleNormal="160" workbookViewId="0">
      <selection activeCell="D3" sqref="D3"/>
    </sheetView>
  </sheetViews>
  <sheetFormatPr defaultRowHeight="15" x14ac:dyDescent="0.25"/>
  <cols>
    <col min="1" max="1" width="34.28515625" style="15" bestFit="1" customWidth="1"/>
    <col min="2" max="2" width="12.7109375" style="15" customWidth="1"/>
    <col min="3" max="3" width="12.140625" style="15" customWidth="1"/>
    <col min="4" max="4" width="13.7109375" style="78" customWidth="1"/>
    <col min="5" max="5" width="10.42578125" style="15" bestFit="1" customWidth="1"/>
    <col min="6" max="256" width="9.140625" style="15"/>
    <col min="257" max="257" width="34.28515625" style="15" bestFit="1" customWidth="1"/>
    <col min="258" max="258" width="12.7109375" style="15" customWidth="1"/>
    <col min="259" max="259" width="12.140625" style="15" customWidth="1"/>
    <col min="260" max="260" width="13.7109375" style="15" customWidth="1"/>
    <col min="261" max="261" width="10.42578125" style="15" bestFit="1" customWidth="1"/>
    <col min="262" max="512" width="9.140625" style="15"/>
    <col min="513" max="513" width="34.28515625" style="15" bestFit="1" customWidth="1"/>
    <col min="514" max="514" width="12.7109375" style="15" customWidth="1"/>
    <col min="515" max="515" width="12.140625" style="15" customWidth="1"/>
    <col min="516" max="516" width="13.7109375" style="15" customWidth="1"/>
    <col min="517" max="517" width="10.42578125" style="15" bestFit="1" customWidth="1"/>
    <col min="518" max="768" width="9.140625" style="15"/>
    <col min="769" max="769" width="34.28515625" style="15" bestFit="1" customWidth="1"/>
    <col min="770" max="770" width="12.7109375" style="15" customWidth="1"/>
    <col min="771" max="771" width="12.140625" style="15" customWidth="1"/>
    <col min="772" max="772" width="13.7109375" style="15" customWidth="1"/>
    <col min="773" max="773" width="10.42578125" style="15" bestFit="1" customWidth="1"/>
    <col min="774" max="1024" width="9.140625" style="15"/>
    <col min="1025" max="1025" width="34.28515625" style="15" bestFit="1" customWidth="1"/>
    <col min="1026" max="1026" width="12.7109375" style="15" customWidth="1"/>
    <col min="1027" max="1027" width="12.140625" style="15" customWidth="1"/>
    <col min="1028" max="1028" width="13.7109375" style="15" customWidth="1"/>
    <col min="1029" max="1029" width="10.42578125" style="15" bestFit="1" customWidth="1"/>
    <col min="1030" max="1280" width="9.140625" style="15"/>
    <col min="1281" max="1281" width="34.28515625" style="15" bestFit="1" customWidth="1"/>
    <col min="1282" max="1282" width="12.7109375" style="15" customWidth="1"/>
    <col min="1283" max="1283" width="12.140625" style="15" customWidth="1"/>
    <col min="1284" max="1284" width="13.7109375" style="15" customWidth="1"/>
    <col min="1285" max="1285" width="10.42578125" style="15" bestFit="1" customWidth="1"/>
    <col min="1286" max="1536" width="9.140625" style="15"/>
    <col min="1537" max="1537" width="34.28515625" style="15" bestFit="1" customWidth="1"/>
    <col min="1538" max="1538" width="12.7109375" style="15" customWidth="1"/>
    <col min="1539" max="1539" width="12.140625" style="15" customWidth="1"/>
    <col min="1540" max="1540" width="13.7109375" style="15" customWidth="1"/>
    <col min="1541" max="1541" width="10.42578125" style="15" bestFit="1" customWidth="1"/>
    <col min="1542" max="1792" width="9.140625" style="15"/>
    <col min="1793" max="1793" width="34.28515625" style="15" bestFit="1" customWidth="1"/>
    <col min="1794" max="1794" width="12.7109375" style="15" customWidth="1"/>
    <col min="1795" max="1795" width="12.140625" style="15" customWidth="1"/>
    <col min="1796" max="1796" width="13.7109375" style="15" customWidth="1"/>
    <col min="1797" max="1797" width="10.42578125" style="15" bestFit="1" customWidth="1"/>
    <col min="1798" max="2048" width="9.140625" style="15"/>
    <col min="2049" max="2049" width="34.28515625" style="15" bestFit="1" customWidth="1"/>
    <col min="2050" max="2050" width="12.7109375" style="15" customWidth="1"/>
    <col min="2051" max="2051" width="12.140625" style="15" customWidth="1"/>
    <col min="2052" max="2052" width="13.7109375" style="15" customWidth="1"/>
    <col min="2053" max="2053" width="10.42578125" style="15" bestFit="1" customWidth="1"/>
    <col min="2054" max="2304" width="9.140625" style="15"/>
    <col min="2305" max="2305" width="34.28515625" style="15" bestFit="1" customWidth="1"/>
    <col min="2306" max="2306" width="12.7109375" style="15" customWidth="1"/>
    <col min="2307" max="2307" width="12.140625" style="15" customWidth="1"/>
    <col min="2308" max="2308" width="13.7109375" style="15" customWidth="1"/>
    <col min="2309" max="2309" width="10.42578125" style="15" bestFit="1" customWidth="1"/>
    <col min="2310" max="2560" width="9.140625" style="15"/>
    <col min="2561" max="2561" width="34.28515625" style="15" bestFit="1" customWidth="1"/>
    <col min="2562" max="2562" width="12.7109375" style="15" customWidth="1"/>
    <col min="2563" max="2563" width="12.140625" style="15" customWidth="1"/>
    <col min="2564" max="2564" width="13.7109375" style="15" customWidth="1"/>
    <col min="2565" max="2565" width="10.42578125" style="15" bestFit="1" customWidth="1"/>
    <col min="2566" max="2816" width="9.140625" style="15"/>
    <col min="2817" max="2817" width="34.28515625" style="15" bestFit="1" customWidth="1"/>
    <col min="2818" max="2818" width="12.7109375" style="15" customWidth="1"/>
    <col min="2819" max="2819" width="12.140625" style="15" customWidth="1"/>
    <col min="2820" max="2820" width="13.7109375" style="15" customWidth="1"/>
    <col min="2821" max="2821" width="10.42578125" style="15" bestFit="1" customWidth="1"/>
    <col min="2822" max="3072" width="9.140625" style="15"/>
    <col min="3073" max="3073" width="34.28515625" style="15" bestFit="1" customWidth="1"/>
    <col min="3074" max="3074" width="12.7109375" style="15" customWidth="1"/>
    <col min="3075" max="3075" width="12.140625" style="15" customWidth="1"/>
    <col min="3076" max="3076" width="13.7109375" style="15" customWidth="1"/>
    <col min="3077" max="3077" width="10.42578125" style="15" bestFit="1" customWidth="1"/>
    <col min="3078" max="3328" width="9.140625" style="15"/>
    <col min="3329" max="3329" width="34.28515625" style="15" bestFit="1" customWidth="1"/>
    <col min="3330" max="3330" width="12.7109375" style="15" customWidth="1"/>
    <col min="3331" max="3331" width="12.140625" style="15" customWidth="1"/>
    <col min="3332" max="3332" width="13.7109375" style="15" customWidth="1"/>
    <col min="3333" max="3333" width="10.42578125" style="15" bestFit="1" customWidth="1"/>
    <col min="3334" max="3584" width="9.140625" style="15"/>
    <col min="3585" max="3585" width="34.28515625" style="15" bestFit="1" customWidth="1"/>
    <col min="3586" max="3586" width="12.7109375" style="15" customWidth="1"/>
    <col min="3587" max="3587" width="12.140625" style="15" customWidth="1"/>
    <col min="3588" max="3588" width="13.7109375" style="15" customWidth="1"/>
    <col min="3589" max="3589" width="10.42578125" style="15" bestFit="1" customWidth="1"/>
    <col min="3590" max="3840" width="9.140625" style="15"/>
    <col min="3841" max="3841" width="34.28515625" style="15" bestFit="1" customWidth="1"/>
    <col min="3842" max="3842" width="12.7109375" style="15" customWidth="1"/>
    <col min="3843" max="3843" width="12.140625" style="15" customWidth="1"/>
    <col min="3844" max="3844" width="13.7109375" style="15" customWidth="1"/>
    <col min="3845" max="3845" width="10.42578125" style="15" bestFit="1" customWidth="1"/>
    <col min="3846" max="4096" width="9.140625" style="15"/>
    <col min="4097" max="4097" width="34.28515625" style="15" bestFit="1" customWidth="1"/>
    <col min="4098" max="4098" width="12.7109375" style="15" customWidth="1"/>
    <col min="4099" max="4099" width="12.140625" style="15" customWidth="1"/>
    <col min="4100" max="4100" width="13.7109375" style="15" customWidth="1"/>
    <col min="4101" max="4101" width="10.42578125" style="15" bestFit="1" customWidth="1"/>
    <col min="4102" max="4352" width="9.140625" style="15"/>
    <col min="4353" max="4353" width="34.28515625" style="15" bestFit="1" customWidth="1"/>
    <col min="4354" max="4354" width="12.7109375" style="15" customWidth="1"/>
    <col min="4355" max="4355" width="12.140625" style="15" customWidth="1"/>
    <col min="4356" max="4356" width="13.7109375" style="15" customWidth="1"/>
    <col min="4357" max="4357" width="10.42578125" style="15" bestFit="1" customWidth="1"/>
    <col min="4358" max="4608" width="9.140625" style="15"/>
    <col min="4609" max="4609" width="34.28515625" style="15" bestFit="1" customWidth="1"/>
    <col min="4610" max="4610" width="12.7109375" style="15" customWidth="1"/>
    <col min="4611" max="4611" width="12.140625" style="15" customWidth="1"/>
    <col min="4612" max="4612" width="13.7109375" style="15" customWidth="1"/>
    <col min="4613" max="4613" width="10.42578125" style="15" bestFit="1" customWidth="1"/>
    <col min="4614" max="4864" width="9.140625" style="15"/>
    <col min="4865" max="4865" width="34.28515625" style="15" bestFit="1" customWidth="1"/>
    <col min="4866" max="4866" width="12.7109375" style="15" customWidth="1"/>
    <col min="4867" max="4867" width="12.140625" style="15" customWidth="1"/>
    <col min="4868" max="4868" width="13.7109375" style="15" customWidth="1"/>
    <col min="4869" max="4869" width="10.42578125" style="15" bestFit="1" customWidth="1"/>
    <col min="4870" max="5120" width="9.140625" style="15"/>
    <col min="5121" max="5121" width="34.28515625" style="15" bestFit="1" customWidth="1"/>
    <col min="5122" max="5122" width="12.7109375" style="15" customWidth="1"/>
    <col min="5123" max="5123" width="12.140625" style="15" customWidth="1"/>
    <col min="5124" max="5124" width="13.7109375" style="15" customWidth="1"/>
    <col min="5125" max="5125" width="10.42578125" style="15" bestFit="1" customWidth="1"/>
    <col min="5126" max="5376" width="9.140625" style="15"/>
    <col min="5377" max="5377" width="34.28515625" style="15" bestFit="1" customWidth="1"/>
    <col min="5378" max="5378" width="12.7109375" style="15" customWidth="1"/>
    <col min="5379" max="5379" width="12.140625" style="15" customWidth="1"/>
    <col min="5380" max="5380" width="13.7109375" style="15" customWidth="1"/>
    <col min="5381" max="5381" width="10.42578125" style="15" bestFit="1" customWidth="1"/>
    <col min="5382" max="5632" width="9.140625" style="15"/>
    <col min="5633" max="5633" width="34.28515625" style="15" bestFit="1" customWidth="1"/>
    <col min="5634" max="5634" width="12.7109375" style="15" customWidth="1"/>
    <col min="5635" max="5635" width="12.140625" style="15" customWidth="1"/>
    <col min="5636" max="5636" width="13.7109375" style="15" customWidth="1"/>
    <col min="5637" max="5637" width="10.42578125" style="15" bestFit="1" customWidth="1"/>
    <col min="5638" max="5888" width="9.140625" style="15"/>
    <col min="5889" max="5889" width="34.28515625" style="15" bestFit="1" customWidth="1"/>
    <col min="5890" max="5890" width="12.7109375" style="15" customWidth="1"/>
    <col min="5891" max="5891" width="12.140625" style="15" customWidth="1"/>
    <col min="5892" max="5892" width="13.7109375" style="15" customWidth="1"/>
    <col min="5893" max="5893" width="10.42578125" style="15" bestFit="1" customWidth="1"/>
    <col min="5894" max="6144" width="9.140625" style="15"/>
    <col min="6145" max="6145" width="34.28515625" style="15" bestFit="1" customWidth="1"/>
    <col min="6146" max="6146" width="12.7109375" style="15" customWidth="1"/>
    <col min="6147" max="6147" width="12.140625" style="15" customWidth="1"/>
    <col min="6148" max="6148" width="13.7109375" style="15" customWidth="1"/>
    <col min="6149" max="6149" width="10.42578125" style="15" bestFit="1" customWidth="1"/>
    <col min="6150" max="6400" width="9.140625" style="15"/>
    <col min="6401" max="6401" width="34.28515625" style="15" bestFit="1" customWidth="1"/>
    <col min="6402" max="6402" width="12.7109375" style="15" customWidth="1"/>
    <col min="6403" max="6403" width="12.140625" style="15" customWidth="1"/>
    <col min="6404" max="6404" width="13.7109375" style="15" customWidth="1"/>
    <col min="6405" max="6405" width="10.42578125" style="15" bestFit="1" customWidth="1"/>
    <col min="6406" max="6656" width="9.140625" style="15"/>
    <col min="6657" max="6657" width="34.28515625" style="15" bestFit="1" customWidth="1"/>
    <col min="6658" max="6658" width="12.7109375" style="15" customWidth="1"/>
    <col min="6659" max="6659" width="12.140625" style="15" customWidth="1"/>
    <col min="6660" max="6660" width="13.7109375" style="15" customWidth="1"/>
    <col min="6661" max="6661" width="10.42578125" style="15" bestFit="1" customWidth="1"/>
    <col min="6662" max="6912" width="9.140625" style="15"/>
    <col min="6913" max="6913" width="34.28515625" style="15" bestFit="1" customWidth="1"/>
    <col min="6914" max="6914" width="12.7109375" style="15" customWidth="1"/>
    <col min="6915" max="6915" width="12.140625" style="15" customWidth="1"/>
    <col min="6916" max="6916" width="13.7109375" style="15" customWidth="1"/>
    <col min="6917" max="6917" width="10.42578125" style="15" bestFit="1" customWidth="1"/>
    <col min="6918" max="7168" width="9.140625" style="15"/>
    <col min="7169" max="7169" width="34.28515625" style="15" bestFit="1" customWidth="1"/>
    <col min="7170" max="7170" width="12.7109375" style="15" customWidth="1"/>
    <col min="7171" max="7171" width="12.140625" style="15" customWidth="1"/>
    <col min="7172" max="7172" width="13.7109375" style="15" customWidth="1"/>
    <col min="7173" max="7173" width="10.42578125" style="15" bestFit="1" customWidth="1"/>
    <col min="7174" max="7424" width="9.140625" style="15"/>
    <col min="7425" max="7425" width="34.28515625" style="15" bestFit="1" customWidth="1"/>
    <col min="7426" max="7426" width="12.7109375" style="15" customWidth="1"/>
    <col min="7427" max="7427" width="12.140625" style="15" customWidth="1"/>
    <col min="7428" max="7428" width="13.7109375" style="15" customWidth="1"/>
    <col min="7429" max="7429" width="10.42578125" style="15" bestFit="1" customWidth="1"/>
    <col min="7430" max="7680" width="9.140625" style="15"/>
    <col min="7681" max="7681" width="34.28515625" style="15" bestFit="1" customWidth="1"/>
    <col min="7682" max="7682" width="12.7109375" style="15" customWidth="1"/>
    <col min="7683" max="7683" width="12.140625" style="15" customWidth="1"/>
    <col min="7684" max="7684" width="13.7109375" style="15" customWidth="1"/>
    <col min="7685" max="7685" width="10.42578125" style="15" bestFit="1" customWidth="1"/>
    <col min="7686" max="7936" width="9.140625" style="15"/>
    <col min="7937" max="7937" width="34.28515625" style="15" bestFit="1" customWidth="1"/>
    <col min="7938" max="7938" width="12.7109375" style="15" customWidth="1"/>
    <col min="7939" max="7939" width="12.140625" style="15" customWidth="1"/>
    <col min="7940" max="7940" width="13.7109375" style="15" customWidth="1"/>
    <col min="7941" max="7941" width="10.42578125" style="15" bestFit="1" customWidth="1"/>
    <col min="7942" max="8192" width="9.140625" style="15"/>
    <col min="8193" max="8193" width="34.28515625" style="15" bestFit="1" customWidth="1"/>
    <col min="8194" max="8194" width="12.7109375" style="15" customWidth="1"/>
    <col min="8195" max="8195" width="12.140625" style="15" customWidth="1"/>
    <col min="8196" max="8196" width="13.7109375" style="15" customWidth="1"/>
    <col min="8197" max="8197" width="10.42578125" style="15" bestFit="1" customWidth="1"/>
    <col min="8198" max="8448" width="9.140625" style="15"/>
    <col min="8449" max="8449" width="34.28515625" style="15" bestFit="1" customWidth="1"/>
    <col min="8450" max="8450" width="12.7109375" style="15" customWidth="1"/>
    <col min="8451" max="8451" width="12.140625" style="15" customWidth="1"/>
    <col min="8452" max="8452" width="13.7109375" style="15" customWidth="1"/>
    <col min="8453" max="8453" width="10.42578125" style="15" bestFit="1" customWidth="1"/>
    <col min="8454" max="8704" width="9.140625" style="15"/>
    <col min="8705" max="8705" width="34.28515625" style="15" bestFit="1" customWidth="1"/>
    <col min="8706" max="8706" width="12.7109375" style="15" customWidth="1"/>
    <col min="8707" max="8707" width="12.140625" style="15" customWidth="1"/>
    <col min="8708" max="8708" width="13.7109375" style="15" customWidth="1"/>
    <col min="8709" max="8709" width="10.42578125" style="15" bestFit="1" customWidth="1"/>
    <col min="8710" max="8960" width="9.140625" style="15"/>
    <col min="8961" max="8961" width="34.28515625" style="15" bestFit="1" customWidth="1"/>
    <col min="8962" max="8962" width="12.7109375" style="15" customWidth="1"/>
    <col min="8963" max="8963" width="12.140625" style="15" customWidth="1"/>
    <col min="8964" max="8964" width="13.7109375" style="15" customWidth="1"/>
    <col min="8965" max="8965" width="10.42578125" style="15" bestFit="1" customWidth="1"/>
    <col min="8966" max="9216" width="9.140625" style="15"/>
    <col min="9217" max="9217" width="34.28515625" style="15" bestFit="1" customWidth="1"/>
    <col min="9218" max="9218" width="12.7109375" style="15" customWidth="1"/>
    <col min="9219" max="9219" width="12.140625" style="15" customWidth="1"/>
    <col min="9220" max="9220" width="13.7109375" style="15" customWidth="1"/>
    <col min="9221" max="9221" width="10.42578125" style="15" bestFit="1" customWidth="1"/>
    <col min="9222" max="9472" width="9.140625" style="15"/>
    <col min="9473" max="9473" width="34.28515625" style="15" bestFit="1" customWidth="1"/>
    <col min="9474" max="9474" width="12.7109375" style="15" customWidth="1"/>
    <col min="9475" max="9475" width="12.140625" style="15" customWidth="1"/>
    <col min="9476" max="9476" width="13.7109375" style="15" customWidth="1"/>
    <col min="9477" max="9477" width="10.42578125" style="15" bestFit="1" customWidth="1"/>
    <col min="9478" max="9728" width="9.140625" style="15"/>
    <col min="9729" max="9729" width="34.28515625" style="15" bestFit="1" customWidth="1"/>
    <col min="9730" max="9730" width="12.7109375" style="15" customWidth="1"/>
    <col min="9731" max="9731" width="12.140625" style="15" customWidth="1"/>
    <col min="9732" max="9732" width="13.7109375" style="15" customWidth="1"/>
    <col min="9733" max="9733" width="10.42578125" style="15" bestFit="1" customWidth="1"/>
    <col min="9734" max="9984" width="9.140625" style="15"/>
    <col min="9985" max="9985" width="34.28515625" style="15" bestFit="1" customWidth="1"/>
    <col min="9986" max="9986" width="12.7109375" style="15" customWidth="1"/>
    <col min="9987" max="9987" width="12.140625" style="15" customWidth="1"/>
    <col min="9988" max="9988" width="13.7109375" style="15" customWidth="1"/>
    <col min="9989" max="9989" width="10.42578125" style="15" bestFit="1" customWidth="1"/>
    <col min="9990" max="10240" width="9.140625" style="15"/>
    <col min="10241" max="10241" width="34.28515625" style="15" bestFit="1" customWidth="1"/>
    <col min="10242" max="10242" width="12.7109375" style="15" customWidth="1"/>
    <col min="10243" max="10243" width="12.140625" style="15" customWidth="1"/>
    <col min="10244" max="10244" width="13.7109375" style="15" customWidth="1"/>
    <col min="10245" max="10245" width="10.42578125" style="15" bestFit="1" customWidth="1"/>
    <col min="10246" max="10496" width="9.140625" style="15"/>
    <col min="10497" max="10497" width="34.28515625" style="15" bestFit="1" customWidth="1"/>
    <col min="10498" max="10498" width="12.7109375" style="15" customWidth="1"/>
    <col min="10499" max="10499" width="12.140625" style="15" customWidth="1"/>
    <col min="10500" max="10500" width="13.7109375" style="15" customWidth="1"/>
    <col min="10501" max="10501" width="10.42578125" style="15" bestFit="1" customWidth="1"/>
    <col min="10502" max="10752" width="9.140625" style="15"/>
    <col min="10753" max="10753" width="34.28515625" style="15" bestFit="1" customWidth="1"/>
    <col min="10754" max="10754" width="12.7109375" style="15" customWidth="1"/>
    <col min="10755" max="10755" width="12.140625" style="15" customWidth="1"/>
    <col min="10756" max="10756" width="13.7109375" style="15" customWidth="1"/>
    <col min="10757" max="10757" width="10.42578125" style="15" bestFit="1" customWidth="1"/>
    <col min="10758" max="11008" width="9.140625" style="15"/>
    <col min="11009" max="11009" width="34.28515625" style="15" bestFit="1" customWidth="1"/>
    <col min="11010" max="11010" width="12.7109375" style="15" customWidth="1"/>
    <col min="11011" max="11011" width="12.140625" style="15" customWidth="1"/>
    <col min="11012" max="11012" width="13.7109375" style="15" customWidth="1"/>
    <col min="11013" max="11013" width="10.42578125" style="15" bestFit="1" customWidth="1"/>
    <col min="11014" max="11264" width="9.140625" style="15"/>
    <col min="11265" max="11265" width="34.28515625" style="15" bestFit="1" customWidth="1"/>
    <col min="11266" max="11266" width="12.7109375" style="15" customWidth="1"/>
    <col min="11267" max="11267" width="12.140625" style="15" customWidth="1"/>
    <col min="11268" max="11268" width="13.7109375" style="15" customWidth="1"/>
    <col min="11269" max="11269" width="10.42578125" style="15" bestFit="1" customWidth="1"/>
    <col min="11270" max="11520" width="9.140625" style="15"/>
    <col min="11521" max="11521" width="34.28515625" style="15" bestFit="1" customWidth="1"/>
    <col min="11522" max="11522" width="12.7109375" style="15" customWidth="1"/>
    <col min="11523" max="11523" width="12.140625" style="15" customWidth="1"/>
    <col min="11524" max="11524" width="13.7109375" style="15" customWidth="1"/>
    <col min="11525" max="11525" width="10.42578125" style="15" bestFit="1" customWidth="1"/>
    <col min="11526" max="11776" width="9.140625" style="15"/>
    <col min="11777" max="11777" width="34.28515625" style="15" bestFit="1" customWidth="1"/>
    <col min="11778" max="11778" width="12.7109375" style="15" customWidth="1"/>
    <col min="11779" max="11779" width="12.140625" style="15" customWidth="1"/>
    <col min="11780" max="11780" width="13.7109375" style="15" customWidth="1"/>
    <col min="11781" max="11781" width="10.42578125" style="15" bestFit="1" customWidth="1"/>
    <col min="11782" max="12032" width="9.140625" style="15"/>
    <col min="12033" max="12033" width="34.28515625" style="15" bestFit="1" customWidth="1"/>
    <col min="12034" max="12034" width="12.7109375" style="15" customWidth="1"/>
    <col min="12035" max="12035" width="12.140625" style="15" customWidth="1"/>
    <col min="12036" max="12036" width="13.7109375" style="15" customWidth="1"/>
    <col min="12037" max="12037" width="10.42578125" style="15" bestFit="1" customWidth="1"/>
    <col min="12038" max="12288" width="9.140625" style="15"/>
    <col min="12289" max="12289" width="34.28515625" style="15" bestFit="1" customWidth="1"/>
    <col min="12290" max="12290" width="12.7109375" style="15" customWidth="1"/>
    <col min="12291" max="12291" width="12.140625" style="15" customWidth="1"/>
    <col min="12292" max="12292" width="13.7109375" style="15" customWidth="1"/>
    <col min="12293" max="12293" width="10.42578125" style="15" bestFit="1" customWidth="1"/>
    <col min="12294" max="12544" width="9.140625" style="15"/>
    <col min="12545" max="12545" width="34.28515625" style="15" bestFit="1" customWidth="1"/>
    <col min="12546" max="12546" width="12.7109375" style="15" customWidth="1"/>
    <col min="12547" max="12547" width="12.140625" style="15" customWidth="1"/>
    <col min="12548" max="12548" width="13.7109375" style="15" customWidth="1"/>
    <col min="12549" max="12549" width="10.42578125" style="15" bestFit="1" customWidth="1"/>
    <col min="12550" max="12800" width="9.140625" style="15"/>
    <col min="12801" max="12801" width="34.28515625" style="15" bestFit="1" customWidth="1"/>
    <col min="12802" max="12802" width="12.7109375" style="15" customWidth="1"/>
    <col min="12803" max="12803" width="12.140625" style="15" customWidth="1"/>
    <col min="12804" max="12804" width="13.7109375" style="15" customWidth="1"/>
    <col min="12805" max="12805" width="10.42578125" style="15" bestFit="1" customWidth="1"/>
    <col min="12806" max="13056" width="9.140625" style="15"/>
    <col min="13057" max="13057" width="34.28515625" style="15" bestFit="1" customWidth="1"/>
    <col min="13058" max="13058" width="12.7109375" style="15" customWidth="1"/>
    <col min="13059" max="13059" width="12.140625" style="15" customWidth="1"/>
    <col min="13060" max="13060" width="13.7109375" style="15" customWidth="1"/>
    <col min="13061" max="13061" width="10.42578125" style="15" bestFit="1" customWidth="1"/>
    <col min="13062" max="13312" width="9.140625" style="15"/>
    <col min="13313" max="13313" width="34.28515625" style="15" bestFit="1" customWidth="1"/>
    <col min="13314" max="13314" width="12.7109375" style="15" customWidth="1"/>
    <col min="13315" max="13315" width="12.140625" style="15" customWidth="1"/>
    <col min="13316" max="13316" width="13.7109375" style="15" customWidth="1"/>
    <col min="13317" max="13317" width="10.42578125" style="15" bestFit="1" customWidth="1"/>
    <col min="13318" max="13568" width="9.140625" style="15"/>
    <col min="13569" max="13569" width="34.28515625" style="15" bestFit="1" customWidth="1"/>
    <col min="13570" max="13570" width="12.7109375" style="15" customWidth="1"/>
    <col min="13571" max="13571" width="12.140625" style="15" customWidth="1"/>
    <col min="13572" max="13572" width="13.7109375" style="15" customWidth="1"/>
    <col min="13573" max="13573" width="10.42578125" style="15" bestFit="1" customWidth="1"/>
    <col min="13574" max="13824" width="9.140625" style="15"/>
    <col min="13825" max="13825" width="34.28515625" style="15" bestFit="1" customWidth="1"/>
    <col min="13826" max="13826" width="12.7109375" style="15" customWidth="1"/>
    <col min="13827" max="13827" width="12.140625" style="15" customWidth="1"/>
    <col min="13828" max="13828" width="13.7109375" style="15" customWidth="1"/>
    <col min="13829" max="13829" width="10.42578125" style="15" bestFit="1" customWidth="1"/>
    <col min="13830" max="14080" width="9.140625" style="15"/>
    <col min="14081" max="14081" width="34.28515625" style="15" bestFit="1" customWidth="1"/>
    <col min="14082" max="14082" width="12.7109375" style="15" customWidth="1"/>
    <col min="14083" max="14083" width="12.140625" style="15" customWidth="1"/>
    <col min="14084" max="14084" width="13.7109375" style="15" customWidth="1"/>
    <col min="14085" max="14085" width="10.42578125" style="15" bestFit="1" customWidth="1"/>
    <col min="14086" max="14336" width="9.140625" style="15"/>
    <col min="14337" max="14337" width="34.28515625" style="15" bestFit="1" customWidth="1"/>
    <col min="14338" max="14338" width="12.7109375" style="15" customWidth="1"/>
    <col min="14339" max="14339" width="12.140625" style="15" customWidth="1"/>
    <col min="14340" max="14340" width="13.7109375" style="15" customWidth="1"/>
    <col min="14341" max="14341" width="10.42578125" style="15" bestFit="1" customWidth="1"/>
    <col min="14342" max="14592" width="9.140625" style="15"/>
    <col min="14593" max="14593" width="34.28515625" style="15" bestFit="1" customWidth="1"/>
    <col min="14594" max="14594" width="12.7109375" style="15" customWidth="1"/>
    <col min="14595" max="14595" width="12.140625" style="15" customWidth="1"/>
    <col min="14596" max="14596" width="13.7109375" style="15" customWidth="1"/>
    <col min="14597" max="14597" width="10.42578125" style="15" bestFit="1" customWidth="1"/>
    <col min="14598" max="14848" width="9.140625" style="15"/>
    <col min="14849" max="14849" width="34.28515625" style="15" bestFit="1" customWidth="1"/>
    <col min="14850" max="14850" width="12.7109375" style="15" customWidth="1"/>
    <col min="14851" max="14851" width="12.140625" style="15" customWidth="1"/>
    <col min="14852" max="14852" width="13.7109375" style="15" customWidth="1"/>
    <col min="14853" max="14853" width="10.42578125" style="15" bestFit="1" customWidth="1"/>
    <col min="14854" max="15104" width="9.140625" style="15"/>
    <col min="15105" max="15105" width="34.28515625" style="15" bestFit="1" customWidth="1"/>
    <col min="15106" max="15106" width="12.7109375" style="15" customWidth="1"/>
    <col min="15107" max="15107" width="12.140625" style="15" customWidth="1"/>
    <col min="15108" max="15108" width="13.7109375" style="15" customWidth="1"/>
    <col min="15109" max="15109" width="10.42578125" style="15" bestFit="1" customWidth="1"/>
    <col min="15110" max="15360" width="9.140625" style="15"/>
    <col min="15361" max="15361" width="34.28515625" style="15" bestFit="1" customWidth="1"/>
    <col min="15362" max="15362" width="12.7109375" style="15" customWidth="1"/>
    <col min="15363" max="15363" width="12.140625" style="15" customWidth="1"/>
    <col min="15364" max="15364" width="13.7109375" style="15" customWidth="1"/>
    <col min="15365" max="15365" width="10.42578125" style="15" bestFit="1" customWidth="1"/>
    <col min="15366" max="15616" width="9.140625" style="15"/>
    <col min="15617" max="15617" width="34.28515625" style="15" bestFit="1" customWidth="1"/>
    <col min="15618" max="15618" width="12.7109375" style="15" customWidth="1"/>
    <col min="15619" max="15619" width="12.140625" style="15" customWidth="1"/>
    <col min="15620" max="15620" width="13.7109375" style="15" customWidth="1"/>
    <col min="15621" max="15621" width="10.42578125" style="15" bestFit="1" customWidth="1"/>
    <col min="15622" max="15872" width="9.140625" style="15"/>
    <col min="15873" max="15873" width="34.28515625" style="15" bestFit="1" customWidth="1"/>
    <col min="15874" max="15874" width="12.7109375" style="15" customWidth="1"/>
    <col min="15875" max="15875" width="12.140625" style="15" customWidth="1"/>
    <col min="15876" max="15876" width="13.7109375" style="15" customWidth="1"/>
    <col min="15877" max="15877" width="10.42578125" style="15" bestFit="1" customWidth="1"/>
    <col min="15878" max="16128" width="9.140625" style="15"/>
    <col min="16129" max="16129" width="34.28515625" style="15" bestFit="1" customWidth="1"/>
    <col min="16130" max="16130" width="12.7109375" style="15" customWidth="1"/>
    <col min="16131" max="16131" width="12.140625" style="15" customWidth="1"/>
    <col min="16132" max="16132" width="13.7109375" style="15" customWidth="1"/>
    <col min="16133" max="16133" width="10.42578125" style="15" bestFit="1" customWidth="1"/>
    <col min="16134" max="16384" width="9.140625" style="15"/>
  </cols>
  <sheetData>
    <row r="1" spans="1:6" x14ac:dyDescent="0.25">
      <c r="A1" s="441" t="s">
        <v>531</v>
      </c>
      <c r="B1" s="442">
        <v>2013</v>
      </c>
      <c r="C1" s="442">
        <v>2012</v>
      </c>
      <c r="D1" s="374" t="s">
        <v>532</v>
      </c>
    </row>
    <row r="2" spans="1:6" x14ac:dyDescent="0.25">
      <c r="A2" s="441"/>
      <c r="B2" s="442"/>
      <c r="C2" s="442"/>
      <c r="D2" s="374" t="s">
        <v>533</v>
      </c>
    </row>
    <row r="3" spans="1:6" x14ac:dyDescent="0.25">
      <c r="A3" s="375" t="s">
        <v>534</v>
      </c>
      <c r="B3" s="376">
        <f>'BP 2013  '!F10</f>
        <v>324293.48</v>
      </c>
      <c r="C3" s="376">
        <f>'BP 2013  '!H10</f>
        <v>371425</v>
      </c>
      <c r="D3" s="376">
        <f>B3-C3</f>
        <v>-47131.520000000019</v>
      </c>
    </row>
    <row r="4" spans="1:6" x14ac:dyDescent="0.25">
      <c r="A4" s="377"/>
      <c r="B4" s="378"/>
      <c r="C4" s="378"/>
      <c r="D4" s="374"/>
    </row>
    <row r="5" spans="1:6" x14ac:dyDescent="0.25">
      <c r="A5" s="377" t="s">
        <v>535</v>
      </c>
      <c r="B5" s="416">
        <f>'BP 2013  '!F13+'BP 2013  '!F14+'BP 2013  '!F15+'BP 2013  '!F18+'BP 2013  '!F20+'BP 2013  '!F26+'BP 2013  '!F28+'BP 2013  '!F29+'BP 2013  '!F32+'BP 2013  '!F44</f>
        <v>51394.75</v>
      </c>
      <c r="C5" s="416">
        <f>'BP 2013  '!H13+'BP 2013  '!H14+'BP 2013  '!H15+'BP 2013  '!H18+'BP 2013  '!H20+'BP 2013  '!H26+'BP 2013  '!H28+'BP 2013  '!H29+'BP 2013  '!H32+'BP 2013  '!H44</f>
        <v>34819</v>
      </c>
      <c r="D5" s="417">
        <f>B5-C5</f>
        <v>16575.75</v>
      </c>
      <c r="E5" s="406"/>
      <c r="F5" s="78"/>
    </row>
    <row r="6" spans="1:6" x14ac:dyDescent="0.25">
      <c r="A6" s="377" t="s">
        <v>602</v>
      </c>
      <c r="B6" s="416">
        <f>-1*('BP 2013  '!S10+'BP 2013  '!S11+'BP 2013  '!S14+'BP 2013  '!S15+'BP 2013  '!S22+'BP 2013  '!S23+'BP 2013  '!S25)</f>
        <v>-30222.006796744838</v>
      </c>
      <c r="C6" s="416">
        <f>-1*('BP 2013  '!U10+'BP 2013  '!U11+'BP 2013  '!U14+'BP 2013  '!U15+'BP 2013  '!U22+'BP 2013  '!U23+'BP 2013  '!U25)</f>
        <v>-64204</v>
      </c>
      <c r="D6" s="417">
        <f>B6-C6</f>
        <v>33981.993203255159</v>
      </c>
      <c r="E6" s="418">
        <f>D6+D5</f>
        <v>50557.743203255159</v>
      </c>
    </row>
    <row r="7" spans="1:6" x14ac:dyDescent="0.25">
      <c r="A7" s="377"/>
      <c r="B7" s="417"/>
      <c r="C7" s="417"/>
      <c r="D7" s="419"/>
      <c r="E7" s="406"/>
      <c r="F7" s="78"/>
    </row>
    <row r="8" spans="1:6" x14ac:dyDescent="0.25">
      <c r="A8" s="379" t="s">
        <v>536</v>
      </c>
      <c r="B8" s="417"/>
      <c r="C8" s="417"/>
      <c r="D8" s="419"/>
      <c r="E8" s="406"/>
    </row>
    <row r="9" spans="1:6" x14ac:dyDescent="0.25">
      <c r="A9" s="380" t="s">
        <v>537</v>
      </c>
      <c r="B9" s="419">
        <f>'BP 2013  '!F23+'BP 2013  '!F42</f>
        <v>17000</v>
      </c>
      <c r="C9" s="419">
        <f>'BP 2013  '!H23+'BP 2013  '!H42</f>
        <v>0</v>
      </c>
      <c r="D9" s="417">
        <f>B9-C9</f>
        <v>17000</v>
      </c>
      <c r="E9" s="406"/>
    </row>
    <row r="10" spans="1:6" x14ac:dyDescent="0.25">
      <c r="A10" s="380" t="s">
        <v>538</v>
      </c>
      <c r="B10" s="419">
        <f>SUM('BP 2013  '!F48:F56)+'BP 2013  '!F35</f>
        <v>218299</v>
      </c>
      <c r="C10" s="419">
        <f>SUM('BP 2013  '!H48:H56)</f>
        <v>238733</v>
      </c>
      <c r="D10" s="417">
        <f>B10-C10</f>
        <v>-20434</v>
      </c>
      <c r="E10" s="406"/>
    </row>
    <row r="11" spans="1:6" x14ac:dyDescent="0.25">
      <c r="A11" s="380" t="s">
        <v>539</v>
      </c>
      <c r="B11" s="419"/>
      <c r="C11" s="406"/>
      <c r="D11" s="419"/>
      <c r="E11" s="406"/>
    </row>
    <row r="12" spans="1:6" x14ac:dyDescent="0.25">
      <c r="A12" s="380"/>
      <c r="B12" s="417"/>
      <c r="C12" s="417"/>
      <c r="D12" s="419"/>
      <c r="E12" s="406"/>
    </row>
    <row r="13" spans="1:6" x14ac:dyDescent="0.25">
      <c r="A13" s="379" t="s">
        <v>540</v>
      </c>
      <c r="B13" s="417"/>
      <c r="C13" s="417"/>
      <c r="D13" s="419"/>
      <c r="E13" s="406"/>
    </row>
    <row r="14" spans="1:6" x14ac:dyDescent="0.25">
      <c r="A14" s="377" t="s">
        <v>603</v>
      </c>
      <c r="B14" s="419">
        <f>-'BP 2013  '!S19</f>
        <v>-9423.9950674570828</v>
      </c>
      <c r="C14" s="419">
        <f>-'BP 2013  '!U19</f>
        <v>-17540</v>
      </c>
      <c r="D14" s="417">
        <f>B14-C14</f>
        <v>8116.0049325429172</v>
      </c>
      <c r="E14" s="406"/>
    </row>
    <row r="15" spans="1:6" x14ac:dyDescent="0.25">
      <c r="A15" s="377" t="s">
        <v>604</v>
      </c>
      <c r="B15" s="419">
        <f>SUM('BP 2013  '!S42:S52)*-1</f>
        <v>-571342.1222438711</v>
      </c>
      <c r="C15" s="419">
        <f>SUM('BP 2013  '!U42:U52)*-1</f>
        <v>-563233</v>
      </c>
      <c r="D15" s="417">
        <f>B15-C15</f>
        <v>-8109.1222438710975</v>
      </c>
      <c r="E15" s="406"/>
    </row>
    <row r="16" spans="1:6" x14ac:dyDescent="0.25">
      <c r="A16" s="377" t="s">
        <v>605</v>
      </c>
      <c r="B16" s="420">
        <f>SUM(B3:B15)</f>
        <v>-0.89410807308740914</v>
      </c>
      <c r="C16" s="420">
        <f t="shared" ref="C16" si="0">SUM(C3:C15)</f>
        <v>0</v>
      </c>
      <c r="D16" s="420">
        <f>SUM(D3:D15)</f>
        <v>-0.89410807304011541</v>
      </c>
      <c r="E16" s="406"/>
    </row>
    <row r="23" spans="1:1" x14ac:dyDescent="0.25">
      <c r="A23" s="15" t="s">
        <v>541</v>
      </c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" zoomScale="160" zoomScaleNormal="160" workbookViewId="0">
      <selection activeCell="C3" sqref="C3"/>
    </sheetView>
  </sheetViews>
  <sheetFormatPr defaultRowHeight="15" x14ac:dyDescent="0.25"/>
  <cols>
    <col min="1" max="1" width="54" style="15" customWidth="1"/>
    <col min="2" max="3" width="11.7109375" style="369" bestFit="1" customWidth="1"/>
    <col min="4" max="4" width="11.140625" style="15" bestFit="1" customWidth="1"/>
    <col min="5" max="256" width="9.140625" style="15"/>
    <col min="257" max="257" width="54" style="15" customWidth="1"/>
    <col min="258" max="258" width="11.42578125" style="15" bestFit="1" customWidth="1"/>
    <col min="259" max="259" width="11.140625" style="15" bestFit="1" customWidth="1"/>
    <col min="260" max="260" width="10.7109375" style="15" bestFit="1" customWidth="1"/>
    <col min="261" max="512" width="9.140625" style="15"/>
    <col min="513" max="513" width="54" style="15" customWidth="1"/>
    <col min="514" max="514" width="11.42578125" style="15" bestFit="1" customWidth="1"/>
    <col min="515" max="515" width="11.140625" style="15" bestFit="1" customWidth="1"/>
    <col min="516" max="516" width="10.7109375" style="15" bestFit="1" customWidth="1"/>
    <col min="517" max="768" width="9.140625" style="15"/>
    <col min="769" max="769" width="54" style="15" customWidth="1"/>
    <col min="770" max="770" width="11.42578125" style="15" bestFit="1" customWidth="1"/>
    <col min="771" max="771" width="11.140625" style="15" bestFit="1" customWidth="1"/>
    <col min="772" max="772" width="10.7109375" style="15" bestFit="1" customWidth="1"/>
    <col min="773" max="1024" width="9.140625" style="15"/>
    <col min="1025" max="1025" width="54" style="15" customWidth="1"/>
    <col min="1026" max="1026" width="11.42578125" style="15" bestFit="1" customWidth="1"/>
    <col min="1027" max="1027" width="11.140625" style="15" bestFit="1" customWidth="1"/>
    <col min="1028" max="1028" width="10.7109375" style="15" bestFit="1" customWidth="1"/>
    <col min="1029" max="1280" width="9.140625" style="15"/>
    <col min="1281" max="1281" width="54" style="15" customWidth="1"/>
    <col min="1282" max="1282" width="11.42578125" style="15" bestFit="1" customWidth="1"/>
    <col min="1283" max="1283" width="11.140625" style="15" bestFit="1" customWidth="1"/>
    <col min="1284" max="1284" width="10.7109375" style="15" bestFit="1" customWidth="1"/>
    <col min="1285" max="1536" width="9.140625" style="15"/>
    <col min="1537" max="1537" width="54" style="15" customWidth="1"/>
    <col min="1538" max="1538" width="11.42578125" style="15" bestFit="1" customWidth="1"/>
    <col min="1539" max="1539" width="11.140625" style="15" bestFit="1" customWidth="1"/>
    <col min="1540" max="1540" width="10.7109375" style="15" bestFit="1" customWidth="1"/>
    <col min="1541" max="1792" width="9.140625" style="15"/>
    <col min="1793" max="1793" width="54" style="15" customWidth="1"/>
    <col min="1794" max="1794" width="11.42578125" style="15" bestFit="1" customWidth="1"/>
    <col min="1795" max="1795" width="11.140625" style="15" bestFit="1" customWidth="1"/>
    <col min="1796" max="1796" width="10.7109375" style="15" bestFit="1" customWidth="1"/>
    <col min="1797" max="2048" width="9.140625" style="15"/>
    <col min="2049" max="2049" width="54" style="15" customWidth="1"/>
    <col min="2050" max="2050" width="11.42578125" style="15" bestFit="1" customWidth="1"/>
    <col min="2051" max="2051" width="11.140625" style="15" bestFit="1" customWidth="1"/>
    <col min="2052" max="2052" width="10.7109375" style="15" bestFit="1" customWidth="1"/>
    <col min="2053" max="2304" width="9.140625" style="15"/>
    <col min="2305" max="2305" width="54" style="15" customWidth="1"/>
    <col min="2306" max="2306" width="11.42578125" style="15" bestFit="1" customWidth="1"/>
    <col min="2307" max="2307" width="11.140625" style="15" bestFit="1" customWidth="1"/>
    <col min="2308" max="2308" width="10.7109375" style="15" bestFit="1" customWidth="1"/>
    <col min="2309" max="2560" width="9.140625" style="15"/>
    <col min="2561" max="2561" width="54" style="15" customWidth="1"/>
    <col min="2562" max="2562" width="11.42578125" style="15" bestFit="1" customWidth="1"/>
    <col min="2563" max="2563" width="11.140625" style="15" bestFit="1" customWidth="1"/>
    <col min="2564" max="2564" width="10.7109375" style="15" bestFit="1" customWidth="1"/>
    <col min="2565" max="2816" width="9.140625" style="15"/>
    <col min="2817" max="2817" width="54" style="15" customWidth="1"/>
    <col min="2818" max="2818" width="11.42578125" style="15" bestFit="1" customWidth="1"/>
    <col min="2819" max="2819" width="11.140625" style="15" bestFit="1" customWidth="1"/>
    <col min="2820" max="2820" width="10.7109375" style="15" bestFit="1" customWidth="1"/>
    <col min="2821" max="3072" width="9.140625" style="15"/>
    <col min="3073" max="3073" width="54" style="15" customWidth="1"/>
    <col min="3074" max="3074" width="11.42578125" style="15" bestFit="1" customWidth="1"/>
    <col min="3075" max="3075" width="11.140625" style="15" bestFit="1" customWidth="1"/>
    <col min="3076" max="3076" width="10.7109375" style="15" bestFit="1" customWidth="1"/>
    <col min="3077" max="3328" width="9.140625" style="15"/>
    <col min="3329" max="3329" width="54" style="15" customWidth="1"/>
    <col min="3330" max="3330" width="11.42578125" style="15" bestFit="1" customWidth="1"/>
    <col min="3331" max="3331" width="11.140625" style="15" bestFit="1" customWidth="1"/>
    <col min="3332" max="3332" width="10.7109375" style="15" bestFit="1" customWidth="1"/>
    <col min="3333" max="3584" width="9.140625" style="15"/>
    <col min="3585" max="3585" width="54" style="15" customWidth="1"/>
    <col min="3586" max="3586" width="11.42578125" style="15" bestFit="1" customWidth="1"/>
    <col min="3587" max="3587" width="11.140625" style="15" bestFit="1" customWidth="1"/>
    <col min="3588" max="3588" width="10.7109375" style="15" bestFit="1" customWidth="1"/>
    <col min="3589" max="3840" width="9.140625" style="15"/>
    <col min="3841" max="3841" width="54" style="15" customWidth="1"/>
    <col min="3842" max="3842" width="11.42578125" style="15" bestFit="1" customWidth="1"/>
    <col min="3843" max="3843" width="11.140625" style="15" bestFit="1" customWidth="1"/>
    <col min="3844" max="3844" width="10.7109375" style="15" bestFit="1" customWidth="1"/>
    <col min="3845" max="4096" width="9.140625" style="15"/>
    <col min="4097" max="4097" width="54" style="15" customWidth="1"/>
    <col min="4098" max="4098" width="11.42578125" style="15" bestFit="1" customWidth="1"/>
    <col min="4099" max="4099" width="11.140625" style="15" bestFit="1" customWidth="1"/>
    <col min="4100" max="4100" width="10.7109375" style="15" bestFit="1" customWidth="1"/>
    <col min="4101" max="4352" width="9.140625" style="15"/>
    <col min="4353" max="4353" width="54" style="15" customWidth="1"/>
    <col min="4354" max="4354" width="11.42578125" style="15" bestFit="1" customWidth="1"/>
    <col min="4355" max="4355" width="11.140625" style="15" bestFit="1" customWidth="1"/>
    <col min="4356" max="4356" width="10.7109375" style="15" bestFit="1" customWidth="1"/>
    <col min="4357" max="4608" width="9.140625" style="15"/>
    <col min="4609" max="4609" width="54" style="15" customWidth="1"/>
    <col min="4610" max="4610" width="11.42578125" style="15" bestFit="1" customWidth="1"/>
    <col min="4611" max="4611" width="11.140625" style="15" bestFit="1" customWidth="1"/>
    <col min="4612" max="4612" width="10.7109375" style="15" bestFit="1" customWidth="1"/>
    <col min="4613" max="4864" width="9.140625" style="15"/>
    <col min="4865" max="4865" width="54" style="15" customWidth="1"/>
    <col min="4866" max="4866" width="11.42578125" style="15" bestFit="1" customWidth="1"/>
    <col min="4867" max="4867" width="11.140625" style="15" bestFit="1" customWidth="1"/>
    <col min="4868" max="4868" width="10.7109375" style="15" bestFit="1" customWidth="1"/>
    <col min="4869" max="5120" width="9.140625" style="15"/>
    <col min="5121" max="5121" width="54" style="15" customWidth="1"/>
    <col min="5122" max="5122" width="11.42578125" style="15" bestFit="1" customWidth="1"/>
    <col min="5123" max="5123" width="11.140625" style="15" bestFit="1" customWidth="1"/>
    <col min="5124" max="5124" width="10.7109375" style="15" bestFit="1" customWidth="1"/>
    <col min="5125" max="5376" width="9.140625" style="15"/>
    <col min="5377" max="5377" width="54" style="15" customWidth="1"/>
    <col min="5378" max="5378" width="11.42578125" style="15" bestFit="1" customWidth="1"/>
    <col min="5379" max="5379" width="11.140625" style="15" bestFit="1" customWidth="1"/>
    <col min="5380" max="5380" width="10.7109375" style="15" bestFit="1" customWidth="1"/>
    <col min="5381" max="5632" width="9.140625" style="15"/>
    <col min="5633" max="5633" width="54" style="15" customWidth="1"/>
    <col min="5634" max="5634" width="11.42578125" style="15" bestFit="1" customWidth="1"/>
    <col min="5635" max="5635" width="11.140625" style="15" bestFit="1" customWidth="1"/>
    <col min="5636" max="5636" width="10.7109375" style="15" bestFit="1" customWidth="1"/>
    <col min="5637" max="5888" width="9.140625" style="15"/>
    <col min="5889" max="5889" width="54" style="15" customWidth="1"/>
    <col min="5890" max="5890" width="11.42578125" style="15" bestFit="1" customWidth="1"/>
    <col min="5891" max="5891" width="11.140625" style="15" bestFit="1" customWidth="1"/>
    <col min="5892" max="5892" width="10.7109375" style="15" bestFit="1" customWidth="1"/>
    <col min="5893" max="6144" width="9.140625" style="15"/>
    <col min="6145" max="6145" width="54" style="15" customWidth="1"/>
    <col min="6146" max="6146" width="11.42578125" style="15" bestFit="1" customWidth="1"/>
    <col min="6147" max="6147" width="11.140625" style="15" bestFit="1" customWidth="1"/>
    <col min="6148" max="6148" width="10.7109375" style="15" bestFit="1" customWidth="1"/>
    <col min="6149" max="6400" width="9.140625" style="15"/>
    <col min="6401" max="6401" width="54" style="15" customWidth="1"/>
    <col min="6402" max="6402" width="11.42578125" style="15" bestFit="1" customWidth="1"/>
    <col min="6403" max="6403" width="11.140625" style="15" bestFit="1" customWidth="1"/>
    <col min="6404" max="6404" width="10.7109375" style="15" bestFit="1" customWidth="1"/>
    <col min="6405" max="6656" width="9.140625" style="15"/>
    <col min="6657" max="6657" width="54" style="15" customWidth="1"/>
    <col min="6658" max="6658" width="11.42578125" style="15" bestFit="1" customWidth="1"/>
    <col min="6659" max="6659" width="11.140625" style="15" bestFit="1" customWidth="1"/>
    <col min="6660" max="6660" width="10.7109375" style="15" bestFit="1" customWidth="1"/>
    <col min="6661" max="6912" width="9.140625" style="15"/>
    <col min="6913" max="6913" width="54" style="15" customWidth="1"/>
    <col min="6914" max="6914" width="11.42578125" style="15" bestFit="1" customWidth="1"/>
    <col min="6915" max="6915" width="11.140625" style="15" bestFit="1" customWidth="1"/>
    <col min="6916" max="6916" width="10.7109375" style="15" bestFit="1" customWidth="1"/>
    <col min="6917" max="7168" width="9.140625" style="15"/>
    <col min="7169" max="7169" width="54" style="15" customWidth="1"/>
    <col min="7170" max="7170" width="11.42578125" style="15" bestFit="1" customWidth="1"/>
    <col min="7171" max="7171" width="11.140625" style="15" bestFit="1" customWidth="1"/>
    <col min="7172" max="7172" width="10.7109375" style="15" bestFit="1" customWidth="1"/>
    <col min="7173" max="7424" width="9.140625" style="15"/>
    <col min="7425" max="7425" width="54" style="15" customWidth="1"/>
    <col min="7426" max="7426" width="11.42578125" style="15" bestFit="1" customWidth="1"/>
    <col min="7427" max="7427" width="11.140625" style="15" bestFit="1" customWidth="1"/>
    <col min="7428" max="7428" width="10.7109375" style="15" bestFit="1" customWidth="1"/>
    <col min="7429" max="7680" width="9.140625" style="15"/>
    <col min="7681" max="7681" width="54" style="15" customWidth="1"/>
    <col min="7682" max="7682" width="11.42578125" style="15" bestFit="1" customWidth="1"/>
    <col min="7683" max="7683" width="11.140625" style="15" bestFit="1" customWidth="1"/>
    <col min="7684" max="7684" width="10.7109375" style="15" bestFit="1" customWidth="1"/>
    <col min="7685" max="7936" width="9.140625" style="15"/>
    <col min="7937" max="7937" width="54" style="15" customWidth="1"/>
    <col min="7938" max="7938" width="11.42578125" style="15" bestFit="1" customWidth="1"/>
    <col min="7939" max="7939" width="11.140625" style="15" bestFit="1" customWidth="1"/>
    <col min="7940" max="7940" width="10.7109375" style="15" bestFit="1" customWidth="1"/>
    <col min="7941" max="8192" width="9.140625" style="15"/>
    <col min="8193" max="8193" width="54" style="15" customWidth="1"/>
    <col min="8194" max="8194" width="11.42578125" style="15" bestFit="1" customWidth="1"/>
    <col min="8195" max="8195" width="11.140625" style="15" bestFit="1" customWidth="1"/>
    <col min="8196" max="8196" width="10.7109375" style="15" bestFit="1" customWidth="1"/>
    <col min="8197" max="8448" width="9.140625" style="15"/>
    <col min="8449" max="8449" width="54" style="15" customWidth="1"/>
    <col min="8450" max="8450" width="11.42578125" style="15" bestFit="1" customWidth="1"/>
    <col min="8451" max="8451" width="11.140625" style="15" bestFit="1" customWidth="1"/>
    <col min="8452" max="8452" width="10.7109375" style="15" bestFit="1" customWidth="1"/>
    <col min="8453" max="8704" width="9.140625" style="15"/>
    <col min="8705" max="8705" width="54" style="15" customWidth="1"/>
    <col min="8706" max="8706" width="11.42578125" style="15" bestFit="1" customWidth="1"/>
    <col min="8707" max="8707" width="11.140625" style="15" bestFit="1" customWidth="1"/>
    <col min="8708" max="8708" width="10.7109375" style="15" bestFit="1" customWidth="1"/>
    <col min="8709" max="8960" width="9.140625" style="15"/>
    <col min="8961" max="8961" width="54" style="15" customWidth="1"/>
    <col min="8962" max="8962" width="11.42578125" style="15" bestFit="1" customWidth="1"/>
    <col min="8963" max="8963" width="11.140625" style="15" bestFit="1" customWidth="1"/>
    <col min="8964" max="8964" width="10.7109375" style="15" bestFit="1" customWidth="1"/>
    <col min="8965" max="9216" width="9.140625" style="15"/>
    <col min="9217" max="9217" width="54" style="15" customWidth="1"/>
    <col min="9218" max="9218" width="11.42578125" style="15" bestFit="1" customWidth="1"/>
    <col min="9219" max="9219" width="11.140625" style="15" bestFit="1" customWidth="1"/>
    <col min="9220" max="9220" width="10.7109375" style="15" bestFit="1" customWidth="1"/>
    <col min="9221" max="9472" width="9.140625" style="15"/>
    <col min="9473" max="9473" width="54" style="15" customWidth="1"/>
    <col min="9474" max="9474" width="11.42578125" style="15" bestFit="1" customWidth="1"/>
    <col min="9475" max="9475" width="11.140625" style="15" bestFit="1" customWidth="1"/>
    <col min="9476" max="9476" width="10.7109375" style="15" bestFit="1" customWidth="1"/>
    <col min="9477" max="9728" width="9.140625" style="15"/>
    <col min="9729" max="9729" width="54" style="15" customWidth="1"/>
    <col min="9730" max="9730" width="11.42578125" style="15" bestFit="1" customWidth="1"/>
    <col min="9731" max="9731" width="11.140625" style="15" bestFit="1" customWidth="1"/>
    <col min="9732" max="9732" width="10.7109375" style="15" bestFit="1" customWidth="1"/>
    <col min="9733" max="9984" width="9.140625" style="15"/>
    <col min="9985" max="9985" width="54" style="15" customWidth="1"/>
    <col min="9986" max="9986" width="11.42578125" style="15" bestFit="1" customWidth="1"/>
    <col min="9987" max="9987" width="11.140625" style="15" bestFit="1" customWidth="1"/>
    <col min="9988" max="9988" width="10.7109375" style="15" bestFit="1" customWidth="1"/>
    <col min="9989" max="10240" width="9.140625" style="15"/>
    <col min="10241" max="10241" width="54" style="15" customWidth="1"/>
    <col min="10242" max="10242" width="11.42578125" style="15" bestFit="1" customWidth="1"/>
    <col min="10243" max="10243" width="11.140625" style="15" bestFit="1" customWidth="1"/>
    <col min="10244" max="10244" width="10.7109375" style="15" bestFit="1" customWidth="1"/>
    <col min="10245" max="10496" width="9.140625" style="15"/>
    <col min="10497" max="10497" width="54" style="15" customWidth="1"/>
    <col min="10498" max="10498" width="11.42578125" style="15" bestFit="1" customWidth="1"/>
    <col min="10499" max="10499" width="11.140625" style="15" bestFit="1" customWidth="1"/>
    <col min="10500" max="10500" width="10.7109375" style="15" bestFit="1" customWidth="1"/>
    <col min="10501" max="10752" width="9.140625" style="15"/>
    <col min="10753" max="10753" width="54" style="15" customWidth="1"/>
    <col min="10754" max="10754" width="11.42578125" style="15" bestFit="1" customWidth="1"/>
    <col min="10755" max="10755" width="11.140625" style="15" bestFit="1" customWidth="1"/>
    <col min="10756" max="10756" width="10.7109375" style="15" bestFit="1" customWidth="1"/>
    <col min="10757" max="11008" width="9.140625" style="15"/>
    <col min="11009" max="11009" width="54" style="15" customWidth="1"/>
    <col min="11010" max="11010" width="11.42578125" style="15" bestFit="1" customWidth="1"/>
    <col min="11011" max="11011" width="11.140625" style="15" bestFit="1" customWidth="1"/>
    <col min="11012" max="11012" width="10.7109375" style="15" bestFit="1" customWidth="1"/>
    <col min="11013" max="11264" width="9.140625" style="15"/>
    <col min="11265" max="11265" width="54" style="15" customWidth="1"/>
    <col min="11266" max="11266" width="11.42578125" style="15" bestFit="1" customWidth="1"/>
    <col min="11267" max="11267" width="11.140625" style="15" bestFit="1" customWidth="1"/>
    <col min="11268" max="11268" width="10.7109375" style="15" bestFit="1" customWidth="1"/>
    <col min="11269" max="11520" width="9.140625" style="15"/>
    <col min="11521" max="11521" width="54" style="15" customWidth="1"/>
    <col min="11522" max="11522" width="11.42578125" style="15" bestFit="1" customWidth="1"/>
    <col min="11523" max="11523" width="11.140625" style="15" bestFit="1" customWidth="1"/>
    <col min="11524" max="11524" width="10.7109375" style="15" bestFit="1" customWidth="1"/>
    <col min="11525" max="11776" width="9.140625" style="15"/>
    <col min="11777" max="11777" width="54" style="15" customWidth="1"/>
    <col min="11778" max="11778" width="11.42578125" style="15" bestFit="1" customWidth="1"/>
    <col min="11779" max="11779" width="11.140625" style="15" bestFit="1" customWidth="1"/>
    <col min="11780" max="11780" width="10.7109375" style="15" bestFit="1" customWidth="1"/>
    <col min="11781" max="12032" width="9.140625" style="15"/>
    <col min="12033" max="12033" width="54" style="15" customWidth="1"/>
    <col min="12034" max="12034" width="11.42578125" style="15" bestFit="1" customWidth="1"/>
    <col min="12035" max="12035" width="11.140625" style="15" bestFit="1" customWidth="1"/>
    <col min="12036" max="12036" width="10.7109375" style="15" bestFit="1" customWidth="1"/>
    <col min="12037" max="12288" width="9.140625" style="15"/>
    <col min="12289" max="12289" width="54" style="15" customWidth="1"/>
    <col min="12290" max="12290" width="11.42578125" style="15" bestFit="1" customWidth="1"/>
    <col min="12291" max="12291" width="11.140625" style="15" bestFit="1" customWidth="1"/>
    <col min="12292" max="12292" width="10.7109375" style="15" bestFit="1" customWidth="1"/>
    <col min="12293" max="12544" width="9.140625" style="15"/>
    <col min="12545" max="12545" width="54" style="15" customWidth="1"/>
    <col min="12546" max="12546" width="11.42578125" style="15" bestFit="1" customWidth="1"/>
    <col min="12547" max="12547" width="11.140625" style="15" bestFit="1" customWidth="1"/>
    <col min="12548" max="12548" width="10.7109375" style="15" bestFit="1" customWidth="1"/>
    <col min="12549" max="12800" width="9.140625" style="15"/>
    <col min="12801" max="12801" width="54" style="15" customWidth="1"/>
    <col min="12802" max="12802" width="11.42578125" style="15" bestFit="1" customWidth="1"/>
    <col min="12803" max="12803" width="11.140625" style="15" bestFit="1" customWidth="1"/>
    <col min="12804" max="12804" width="10.7109375" style="15" bestFit="1" customWidth="1"/>
    <col min="12805" max="13056" width="9.140625" style="15"/>
    <col min="13057" max="13057" width="54" style="15" customWidth="1"/>
    <col min="13058" max="13058" width="11.42578125" style="15" bestFit="1" customWidth="1"/>
    <col min="13059" max="13059" width="11.140625" style="15" bestFit="1" customWidth="1"/>
    <col min="13060" max="13060" width="10.7109375" style="15" bestFit="1" customWidth="1"/>
    <col min="13061" max="13312" width="9.140625" style="15"/>
    <col min="13313" max="13313" width="54" style="15" customWidth="1"/>
    <col min="13314" max="13314" width="11.42578125" style="15" bestFit="1" customWidth="1"/>
    <col min="13315" max="13315" width="11.140625" style="15" bestFit="1" customWidth="1"/>
    <col min="13316" max="13316" width="10.7109375" style="15" bestFit="1" customWidth="1"/>
    <col min="13317" max="13568" width="9.140625" style="15"/>
    <col min="13569" max="13569" width="54" style="15" customWidth="1"/>
    <col min="13570" max="13570" width="11.42578125" style="15" bestFit="1" customWidth="1"/>
    <col min="13571" max="13571" width="11.140625" style="15" bestFit="1" customWidth="1"/>
    <col min="13572" max="13572" width="10.7109375" style="15" bestFit="1" customWidth="1"/>
    <col min="13573" max="13824" width="9.140625" style="15"/>
    <col min="13825" max="13825" width="54" style="15" customWidth="1"/>
    <col min="13826" max="13826" width="11.42578125" style="15" bestFit="1" customWidth="1"/>
    <col min="13827" max="13827" width="11.140625" style="15" bestFit="1" customWidth="1"/>
    <col min="13828" max="13828" width="10.7109375" style="15" bestFit="1" customWidth="1"/>
    <col min="13829" max="14080" width="9.140625" style="15"/>
    <col min="14081" max="14081" width="54" style="15" customWidth="1"/>
    <col min="14082" max="14082" width="11.42578125" style="15" bestFit="1" customWidth="1"/>
    <col min="14083" max="14083" width="11.140625" style="15" bestFit="1" customWidth="1"/>
    <col min="14084" max="14084" width="10.7109375" style="15" bestFit="1" customWidth="1"/>
    <col min="14085" max="14336" width="9.140625" style="15"/>
    <col min="14337" max="14337" width="54" style="15" customWidth="1"/>
    <col min="14338" max="14338" width="11.42578125" style="15" bestFit="1" customWidth="1"/>
    <col min="14339" max="14339" width="11.140625" style="15" bestFit="1" customWidth="1"/>
    <col min="14340" max="14340" width="10.7109375" style="15" bestFit="1" customWidth="1"/>
    <col min="14341" max="14592" width="9.140625" style="15"/>
    <col min="14593" max="14593" width="54" style="15" customWidth="1"/>
    <col min="14594" max="14594" width="11.42578125" style="15" bestFit="1" customWidth="1"/>
    <col min="14595" max="14595" width="11.140625" style="15" bestFit="1" customWidth="1"/>
    <col min="14596" max="14596" width="10.7109375" style="15" bestFit="1" customWidth="1"/>
    <col min="14597" max="14848" width="9.140625" style="15"/>
    <col min="14849" max="14849" width="54" style="15" customWidth="1"/>
    <col min="14850" max="14850" width="11.42578125" style="15" bestFit="1" customWidth="1"/>
    <col min="14851" max="14851" width="11.140625" style="15" bestFit="1" customWidth="1"/>
    <col min="14852" max="14852" width="10.7109375" style="15" bestFit="1" customWidth="1"/>
    <col min="14853" max="15104" width="9.140625" style="15"/>
    <col min="15105" max="15105" width="54" style="15" customWidth="1"/>
    <col min="15106" max="15106" width="11.42578125" style="15" bestFit="1" customWidth="1"/>
    <col min="15107" max="15107" width="11.140625" style="15" bestFit="1" customWidth="1"/>
    <col min="15108" max="15108" width="10.7109375" style="15" bestFit="1" customWidth="1"/>
    <col min="15109" max="15360" width="9.140625" style="15"/>
    <col min="15361" max="15361" width="54" style="15" customWidth="1"/>
    <col min="15362" max="15362" width="11.42578125" style="15" bestFit="1" customWidth="1"/>
    <col min="15363" max="15363" width="11.140625" style="15" bestFit="1" customWidth="1"/>
    <col min="15364" max="15364" width="10.7109375" style="15" bestFit="1" customWidth="1"/>
    <col min="15365" max="15616" width="9.140625" style="15"/>
    <col min="15617" max="15617" width="54" style="15" customWidth="1"/>
    <col min="15618" max="15618" width="11.42578125" style="15" bestFit="1" customWidth="1"/>
    <col min="15619" max="15619" width="11.140625" style="15" bestFit="1" customWidth="1"/>
    <col min="15620" max="15620" width="10.7109375" style="15" bestFit="1" customWidth="1"/>
    <col min="15621" max="15872" width="9.140625" style="15"/>
    <col min="15873" max="15873" width="54" style="15" customWidth="1"/>
    <col min="15874" max="15874" width="11.42578125" style="15" bestFit="1" customWidth="1"/>
    <col min="15875" max="15875" width="11.140625" style="15" bestFit="1" customWidth="1"/>
    <col min="15876" max="15876" width="10.7109375" style="15" bestFit="1" customWidth="1"/>
    <col min="15877" max="16128" width="9.140625" style="15"/>
    <col min="16129" max="16129" width="54" style="15" customWidth="1"/>
    <col min="16130" max="16130" width="11.42578125" style="15" bestFit="1" customWidth="1"/>
    <col min="16131" max="16131" width="11.140625" style="15" bestFit="1" customWidth="1"/>
    <col min="16132" max="16132" width="10.7109375" style="15" bestFit="1" customWidth="1"/>
    <col min="16133" max="16384" width="9.140625" style="15"/>
  </cols>
  <sheetData>
    <row r="1" spans="1:4" x14ac:dyDescent="0.25">
      <c r="A1" s="381" t="s">
        <v>542</v>
      </c>
      <c r="B1" s="382" t="s">
        <v>543</v>
      </c>
      <c r="C1" s="383" t="s">
        <v>544</v>
      </c>
    </row>
    <row r="2" spans="1:4" x14ac:dyDescent="0.25">
      <c r="A2" s="375" t="s">
        <v>607</v>
      </c>
      <c r="B2" s="384"/>
      <c r="C2" s="385"/>
    </row>
    <row r="3" spans="1:4" x14ac:dyDescent="0.25">
      <c r="A3" s="386" t="s">
        <v>545</v>
      </c>
      <c r="B3" s="408"/>
      <c r="C3" s="409">
        <f>'BP 2013  '!L26</f>
        <v>2110.75</v>
      </c>
    </row>
    <row r="4" spans="1:4" x14ac:dyDescent="0.25">
      <c r="A4" s="386" t="s">
        <v>546</v>
      </c>
      <c r="B4" s="408"/>
      <c r="C4" s="409">
        <f>'BP 2013  '!L28+'BP 2013  '!L29</f>
        <v>1330</v>
      </c>
    </row>
    <row r="5" spans="1:4" x14ac:dyDescent="0.25">
      <c r="A5" s="386" t="s">
        <v>547</v>
      </c>
      <c r="B5" s="408"/>
      <c r="C5" s="411"/>
    </row>
    <row r="6" spans="1:4" s="223" customFormat="1" x14ac:dyDescent="0.25">
      <c r="A6" s="387" t="s">
        <v>618</v>
      </c>
      <c r="B6" s="408"/>
      <c r="C6" s="409">
        <f>'BP 2013  '!L13+'BP 2013  '!L15</f>
        <v>7200</v>
      </c>
    </row>
    <row r="7" spans="1:4" x14ac:dyDescent="0.25">
      <c r="A7" s="386" t="s">
        <v>143</v>
      </c>
      <c r="B7" s="408"/>
      <c r="C7" s="409">
        <f>'BP 2013  '!L18</f>
        <v>11250</v>
      </c>
      <c r="D7" s="208"/>
    </row>
    <row r="8" spans="1:4" x14ac:dyDescent="0.25">
      <c r="A8" s="386" t="s">
        <v>548</v>
      </c>
      <c r="B8" s="412">
        <f>-'BP 2013  '!L20</f>
        <v>4115</v>
      </c>
      <c r="C8" s="410"/>
      <c r="D8" s="208"/>
    </row>
    <row r="9" spans="1:4" x14ac:dyDescent="0.25">
      <c r="A9" s="386" t="s">
        <v>549</v>
      </c>
      <c r="B9" s="412">
        <f>-'BP 2013  '!L32-'BP 2013  '!L44</f>
        <v>1200</v>
      </c>
      <c r="C9" s="410"/>
    </row>
    <row r="10" spans="1:4" x14ac:dyDescent="0.25">
      <c r="A10" s="386" t="s">
        <v>205</v>
      </c>
      <c r="B10" s="413"/>
      <c r="C10" s="409">
        <f>-'BP 2013  '!X10</f>
        <v>32500</v>
      </c>
    </row>
    <row r="11" spans="1:4" x14ac:dyDescent="0.25">
      <c r="A11" s="386" t="s">
        <v>548</v>
      </c>
      <c r="B11" s="412">
        <f>'BP 2013  '!X11</f>
        <v>638</v>
      </c>
      <c r="C11" s="410"/>
    </row>
    <row r="12" spans="1:4" x14ac:dyDescent="0.25">
      <c r="A12" s="386" t="s">
        <v>371</v>
      </c>
      <c r="B12" s="412">
        <f>'BP 2013  '!X14</f>
        <v>3900</v>
      </c>
      <c r="C12" s="410"/>
      <c r="D12" s="208"/>
    </row>
    <row r="13" spans="1:4" x14ac:dyDescent="0.25">
      <c r="A13" s="386" t="s">
        <v>548</v>
      </c>
      <c r="B13" s="408"/>
      <c r="C13" s="409">
        <f>-'BP 2013  '!X15</f>
        <v>224</v>
      </c>
    </row>
    <row r="14" spans="1:4" x14ac:dyDescent="0.25">
      <c r="A14" s="386" t="s">
        <v>550</v>
      </c>
      <c r="B14" s="412">
        <f>'BP 2013  '!X25</f>
        <v>1539</v>
      </c>
      <c r="C14" s="410"/>
    </row>
    <row r="15" spans="1:4" x14ac:dyDescent="0.25">
      <c r="A15" s="386" t="s">
        <v>551</v>
      </c>
      <c r="B15" s="408"/>
      <c r="C15" s="409">
        <f>-'BP 2013  '!X23</f>
        <v>1941.4967302734249</v>
      </c>
    </row>
    <row r="16" spans="1:4" x14ac:dyDescent="0.25">
      <c r="A16" s="386" t="s">
        <v>552</v>
      </c>
      <c r="B16" s="408"/>
      <c r="C16" s="409">
        <f>-'BP 2013  '!X22</f>
        <v>5393.4964729817366</v>
      </c>
    </row>
    <row r="17" spans="1:5" x14ac:dyDescent="0.25">
      <c r="A17" s="386" t="s">
        <v>176</v>
      </c>
      <c r="B17" s="408"/>
      <c r="C17" s="410"/>
    </row>
    <row r="18" spans="1:5" x14ac:dyDescent="0.25">
      <c r="A18" s="386" t="s">
        <v>553</v>
      </c>
      <c r="B18" s="414"/>
      <c r="C18" s="410"/>
    </row>
    <row r="19" spans="1:5" x14ac:dyDescent="0.25">
      <c r="A19" s="386" t="s">
        <v>554</v>
      </c>
      <c r="B19" s="408"/>
      <c r="C19" s="410"/>
    </row>
    <row r="20" spans="1:5" x14ac:dyDescent="0.25">
      <c r="A20" s="388" t="s">
        <v>569</v>
      </c>
      <c r="B20" s="444">
        <f>SUM(B2:B19)-SUM(C2:C19)</f>
        <v>-50557.743203255159</v>
      </c>
      <c r="C20" s="444"/>
      <c r="D20" s="78">
        <f>B20+'FC PT 1 '!E6</f>
        <v>0</v>
      </c>
      <c r="E20" s="208"/>
    </row>
    <row r="21" spans="1:5" x14ac:dyDescent="0.25">
      <c r="A21" s="375" t="s">
        <v>608</v>
      </c>
      <c r="B21" s="408"/>
      <c r="C21" s="408"/>
    </row>
    <row r="22" spans="1:5" x14ac:dyDescent="0.25">
      <c r="A22" s="377" t="s">
        <v>555</v>
      </c>
      <c r="B22" s="408"/>
      <c r="C22" s="410"/>
    </row>
    <row r="23" spans="1:5" x14ac:dyDescent="0.25">
      <c r="A23" s="380" t="s">
        <v>556</v>
      </c>
      <c r="C23" s="427">
        <f>Lançamentos!B193</f>
        <v>30833.333333333332</v>
      </c>
    </row>
    <row r="24" spans="1:5" x14ac:dyDescent="0.25">
      <c r="A24" s="380" t="s">
        <v>557</v>
      </c>
      <c r="B24" s="413"/>
      <c r="C24" s="410"/>
    </row>
    <row r="25" spans="1:5" x14ac:dyDescent="0.25">
      <c r="A25" s="380" t="s">
        <v>558</v>
      </c>
      <c r="B25" s="426">
        <f>Lançamentos!B194</f>
        <v>30833.333333333332</v>
      </c>
    </row>
    <row r="26" spans="1:5" x14ac:dyDescent="0.25">
      <c r="A26" s="380" t="s">
        <v>559</v>
      </c>
      <c r="B26" s="412">
        <f>'DRE 2013'!F27</f>
        <v>20433.333333333336</v>
      </c>
      <c r="C26" s="411"/>
    </row>
    <row r="27" spans="1:5" x14ac:dyDescent="0.25">
      <c r="A27" s="389" t="s">
        <v>560</v>
      </c>
      <c r="B27" s="443">
        <f>SUM(B22:B26)-SUM(C22:C26)</f>
        <v>20433.333333333339</v>
      </c>
      <c r="C27" s="443"/>
      <c r="D27" s="78"/>
    </row>
    <row r="28" spans="1:5" x14ac:dyDescent="0.25">
      <c r="A28" s="377" t="s">
        <v>561</v>
      </c>
      <c r="B28" s="413"/>
      <c r="C28" s="411"/>
    </row>
    <row r="29" spans="1:5" x14ac:dyDescent="0.25">
      <c r="A29" s="380" t="s">
        <v>562</v>
      </c>
      <c r="B29" s="413"/>
      <c r="C29" s="426">
        <f>'BP 2013  '!F23</f>
        <v>8500</v>
      </c>
    </row>
    <row r="30" spans="1:5" x14ac:dyDescent="0.25">
      <c r="A30" s="380" t="s">
        <v>609</v>
      </c>
      <c r="B30" s="408"/>
      <c r="C30" s="426">
        <f>'BP 2013  '!F23</f>
        <v>8500</v>
      </c>
    </row>
    <row r="31" spans="1:5" x14ac:dyDescent="0.25">
      <c r="A31" s="390" t="s">
        <v>563</v>
      </c>
      <c r="B31" s="443">
        <f>SUM(B29:B30)-SUM(C29:C30)</f>
        <v>-17000</v>
      </c>
      <c r="C31" s="443"/>
    </row>
    <row r="32" spans="1:5" x14ac:dyDescent="0.25">
      <c r="A32" s="375" t="s">
        <v>610</v>
      </c>
      <c r="B32" s="408"/>
      <c r="C32" s="410"/>
    </row>
    <row r="33" spans="1:4" x14ac:dyDescent="0.25">
      <c r="A33" s="381" t="s">
        <v>564</v>
      </c>
      <c r="B33" s="413"/>
      <c r="C33" s="411"/>
    </row>
    <row r="34" spans="1:4" x14ac:dyDescent="0.25">
      <c r="A34" s="377" t="s">
        <v>565</v>
      </c>
      <c r="B34" s="412">
        <f>C43</f>
        <v>9424.2973432786293</v>
      </c>
      <c r="C34" s="426">
        <f>Lançamentos!B227</f>
        <v>17540</v>
      </c>
    </row>
    <row r="35" spans="1:4" x14ac:dyDescent="0.25">
      <c r="A35" s="377" t="s">
        <v>566</v>
      </c>
      <c r="B35" s="408"/>
      <c r="C35" s="411"/>
    </row>
    <row r="36" spans="1:4" x14ac:dyDescent="0.25">
      <c r="A36" s="391" t="s">
        <v>548</v>
      </c>
      <c r="B36" s="408"/>
      <c r="C36" s="411"/>
    </row>
    <row r="37" spans="1:4" x14ac:dyDescent="0.25">
      <c r="A37" s="377" t="s">
        <v>567</v>
      </c>
      <c r="B37" s="413"/>
      <c r="C37" s="410"/>
    </row>
    <row r="38" spans="1:4" x14ac:dyDescent="0.25">
      <c r="A38" s="377" t="s">
        <v>568</v>
      </c>
      <c r="B38" s="415"/>
      <c r="C38" s="411"/>
    </row>
    <row r="39" spans="1:4" x14ac:dyDescent="0.25">
      <c r="A39" s="390" t="s">
        <v>563</v>
      </c>
      <c r="B39" s="443">
        <f>SUM(B33:B38)-SUM(C33:C38)</f>
        <v>-8115.7026567213707</v>
      </c>
      <c r="C39" s="443"/>
    </row>
    <row r="40" spans="1:4" x14ac:dyDescent="0.25">
      <c r="A40" s="381" t="s">
        <v>248</v>
      </c>
      <c r="B40" s="413"/>
      <c r="C40" s="411"/>
    </row>
    <row r="41" spans="1:4" x14ac:dyDescent="0.25">
      <c r="A41" s="377" t="s">
        <v>613</v>
      </c>
      <c r="B41" s="412">
        <f>'DMPL 2013'!I26</f>
        <v>1000</v>
      </c>
      <c r="C41" s="411"/>
    </row>
    <row r="42" spans="1:4" x14ac:dyDescent="0.25">
      <c r="A42" s="377" t="s">
        <v>611</v>
      </c>
      <c r="B42" s="412">
        <f>'DMPL 2013'!I27</f>
        <v>16533.854988208113</v>
      </c>
      <c r="C42" s="411"/>
    </row>
    <row r="43" spans="1:4" x14ac:dyDescent="0.25">
      <c r="A43" s="377" t="s">
        <v>612</v>
      </c>
      <c r="B43" s="413"/>
      <c r="C43" s="409">
        <f>-'DMPL 2013'!I32</f>
        <v>9424.2973432786293</v>
      </c>
    </row>
    <row r="44" spans="1:4" x14ac:dyDescent="0.25">
      <c r="A44" s="390" t="s">
        <v>569</v>
      </c>
      <c r="B44" s="443">
        <f>SUM(B40:B43)-SUM(C40:C43)</f>
        <v>8109.557644929484</v>
      </c>
      <c r="C44" s="443"/>
    </row>
    <row r="45" spans="1:4" x14ac:dyDescent="0.25">
      <c r="A45" s="392" t="s">
        <v>614</v>
      </c>
      <c r="B45" s="443">
        <f>B20+B27+B31+B39+B44</f>
        <v>-47130.554881713702</v>
      </c>
      <c r="C45" s="443"/>
      <c r="D45" s="406">
        <f>B45-'FC PT 1 '!D3</f>
        <v>0.96511828631628305</v>
      </c>
    </row>
  </sheetData>
  <mergeCells count="6">
    <mergeCell ref="B45:C45"/>
    <mergeCell ref="B20:C20"/>
    <mergeCell ref="B27:C27"/>
    <mergeCell ref="B31:C31"/>
    <mergeCell ref="B39:C39"/>
    <mergeCell ref="B44:C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9" zoomScale="170" zoomScaleNormal="170" workbookViewId="0">
      <selection activeCell="B33" sqref="B33"/>
    </sheetView>
  </sheetViews>
  <sheetFormatPr defaultRowHeight="15" x14ac:dyDescent="0.25"/>
  <cols>
    <col min="1" max="1" width="48.85546875" style="371" customWidth="1"/>
    <col min="2" max="2" width="11" style="435" bestFit="1" customWidth="1"/>
    <col min="3" max="3" width="11.140625" style="370" bestFit="1" customWidth="1"/>
    <col min="4" max="4" width="9.140625" style="15"/>
    <col min="5" max="5" width="11.28515625" style="15" customWidth="1"/>
    <col min="6" max="256" width="9.140625" style="15"/>
    <col min="257" max="257" width="48.85546875" style="15" customWidth="1"/>
    <col min="258" max="258" width="11" style="15" bestFit="1" customWidth="1"/>
    <col min="259" max="259" width="11.140625" style="15" bestFit="1" customWidth="1"/>
    <col min="260" max="260" width="9.140625" style="15"/>
    <col min="261" max="261" width="11.28515625" style="15" customWidth="1"/>
    <col min="262" max="512" width="9.140625" style="15"/>
    <col min="513" max="513" width="48.85546875" style="15" customWidth="1"/>
    <col min="514" max="514" width="11" style="15" bestFit="1" customWidth="1"/>
    <col min="515" max="515" width="11.140625" style="15" bestFit="1" customWidth="1"/>
    <col min="516" max="516" width="9.140625" style="15"/>
    <col min="517" max="517" width="11.28515625" style="15" customWidth="1"/>
    <col min="518" max="768" width="9.140625" style="15"/>
    <col min="769" max="769" width="48.85546875" style="15" customWidth="1"/>
    <col min="770" max="770" width="11" style="15" bestFit="1" customWidth="1"/>
    <col min="771" max="771" width="11.140625" style="15" bestFit="1" customWidth="1"/>
    <col min="772" max="772" width="9.140625" style="15"/>
    <col min="773" max="773" width="11.28515625" style="15" customWidth="1"/>
    <col min="774" max="1024" width="9.140625" style="15"/>
    <col min="1025" max="1025" width="48.85546875" style="15" customWidth="1"/>
    <col min="1026" max="1026" width="11" style="15" bestFit="1" customWidth="1"/>
    <col min="1027" max="1027" width="11.140625" style="15" bestFit="1" customWidth="1"/>
    <col min="1028" max="1028" width="9.140625" style="15"/>
    <col min="1029" max="1029" width="11.28515625" style="15" customWidth="1"/>
    <col min="1030" max="1280" width="9.140625" style="15"/>
    <col min="1281" max="1281" width="48.85546875" style="15" customWidth="1"/>
    <col min="1282" max="1282" width="11" style="15" bestFit="1" customWidth="1"/>
    <col min="1283" max="1283" width="11.140625" style="15" bestFit="1" customWidth="1"/>
    <col min="1284" max="1284" width="9.140625" style="15"/>
    <col min="1285" max="1285" width="11.28515625" style="15" customWidth="1"/>
    <col min="1286" max="1536" width="9.140625" style="15"/>
    <col min="1537" max="1537" width="48.85546875" style="15" customWidth="1"/>
    <col min="1538" max="1538" width="11" style="15" bestFit="1" customWidth="1"/>
    <col min="1539" max="1539" width="11.140625" style="15" bestFit="1" customWidth="1"/>
    <col min="1540" max="1540" width="9.140625" style="15"/>
    <col min="1541" max="1541" width="11.28515625" style="15" customWidth="1"/>
    <col min="1542" max="1792" width="9.140625" style="15"/>
    <col min="1793" max="1793" width="48.85546875" style="15" customWidth="1"/>
    <col min="1794" max="1794" width="11" style="15" bestFit="1" customWidth="1"/>
    <col min="1795" max="1795" width="11.140625" style="15" bestFit="1" customWidth="1"/>
    <col min="1796" max="1796" width="9.140625" style="15"/>
    <col min="1797" max="1797" width="11.28515625" style="15" customWidth="1"/>
    <col min="1798" max="2048" width="9.140625" style="15"/>
    <col min="2049" max="2049" width="48.85546875" style="15" customWidth="1"/>
    <col min="2050" max="2050" width="11" style="15" bestFit="1" customWidth="1"/>
    <col min="2051" max="2051" width="11.140625" style="15" bestFit="1" customWidth="1"/>
    <col min="2052" max="2052" width="9.140625" style="15"/>
    <col min="2053" max="2053" width="11.28515625" style="15" customWidth="1"/>
    <col min="2054" max="2304" width="9.140625" style="15"/>
    <col min="2305" max="2305" width="48.85546875" style="15" customWidth="1"/>
    <col min="2306" max="2306" width="11" style="15" bestFit="1" customWidth="1"/>
    <col min="2307" max="2307" width="11.140625" style="15" bestFit="1" customWidth="1"/>
    <col min="2308" max="2308" width="9.140625" style="15"/>
    <col min="2309" max="2309" width="11.28515625" style="15" customWidth="1"/>
    <col min="2310" max="2560" width="9.140625" style="15"/>
    <col min="2561" max="2561" width="48.85546875" style="15" customWidth="1"/>
    <col min="2562" max="2562" width="11" style="15" bestFit="1" customWidth="1"/>
    <col min="2563" max="2563" width="11.140625" style="15" bestFit="1" customWidth="1"/>
    <col min="2564" max="2564" width="9.140625" style="15"/>
    <col min="2565" max="2565" width="11.28515625" style="15" customWidth="1"/>
    <col min="2566" max="2816" width="9.140625" style="15"/>
    <col min="2817" max="2817" width="48.85546875" style="15" customWidth="1"/>
    <col min="2818" max="2818" width="11" style="15" bestFit="1" customWidth="1"/>
    <col min="2819" max="2819" width="11.140625" style="15" bestFit="1" customWidth="1"/>
    <col min="2820" max="2820" width="9.140625" style="15"/>
    <col min="2821" max="2821" width="11.28515625" style="15" customWidth="1"/>
    <col min="2822" max="3072" width="9.140625" style="15"/>
    <col min="3073" max="3073" width="48.85546875" style="15" customWidth="1"/>
    <col min="3074" max="3074" width="11" style="15" bestFit="1" customWidth="1"/>
    <col min="3075" max="3075" width="11.140625" style="15" bestFit="1" customWidth="1"/>
    <col min="3076" max="3076" width="9.140625" style="15"/>
    <col min="3077" max="3077" width="11.28515625" style="15" customWidth="1"/>
    <col min="3078" max="3328" width="9.140625" style="15"/>
    <col min="3329" max="3329" width="48.85546875" style="15" customWidth="1"/>
    <col min="3330" max="3330" width="11" style="15" bestFit="1" customWidth="1"/>
    <col min="3331" max="3331" width="11.140625" style="15" bestFit="1" customWidth="1"/>
    <col min="3332" max="3332" width="9.140625" style="15"/>
    <col min="3333" max="3333" width="11.28515625" style="15" customWidth="1"/>
    <col min="3334" max="3584" width="9.140625" style="15"/>
    <col min="3585" max="3585" width="48.85546875" style="15" customWidth="1"/>
    <col min="3586" max="3586" width="11" style="15" bestFit="1" customWidth="1"/>
    <col min="3587" max="3587" width="11.140625" style="15" bestFit="1" customWidth="1"/>
    <col min="3588" max="3588" width="9.140625" style="15"/>
    <col min="3589" max="3589" width="11.28515625" style="15" customWidth="1"/>
    <col min="3590" max="3840" width="9.140625" style="15"/>
    <col min="3841" max="3841" width="48.85546875" style="15" customWidth="1"/>
    <col min="3842" max="3842" width="11" style="15" bestFit="1" customWidth="1"/>
    <col min="3843" max="3843" width="11.140625" style="15" bestFit="1" customWidth="1"/>
    <col min="3844" max="3844" width="9.140625" style="15"/>
    <col min="3845" max="3845" width="11.28515625" style="15" customWidth="1"/>
    <col min="3846" max="4096" width="9.140625" style="15"/>
    <col min="4097" max="4097" width="48.85546875" style="15" customWidth="1"/>
    <col min="4098" max="4098" width="11" style="15" bestFit="1" customWidth="1"/>
    <col min="4099" max="4099" width="11.140625" style="15" bestFit="1" customWidth="1"/>
    <col min="4100" max="4100" width="9.140625" style="15"/>
    <col min="4101" max="4101" width="11.28515625" style="15" customWidth="1"/>
    <col min="4102" max="4352" width="9.140625" style="15"/>
    <col min="4353" max="4353" width="48.85546875" style="15" customWidth="1"/>
    <col min="4354" max="4354" width="11" style="15" bestFit="1" customWidth="1"/>
    <col min="4355" max="4355" width="11.140625" style="15" bestFit="1" customWidth="1"/>
    <col min="4356" max="4356" width="9.140625" style="15"/>
    <col min="4357" max="4357" width="11.28515625" style="15" customWidth="1"/>
    <col min="4358" max="4608" width="9.140625" style="15"/>
    <col min="4609" max="4609" width="48.85546875" style="15" customWidth="1"/>
    <col min="4610" max="4610" width="11" style="15" bestFit="1" customWidth="1"/>
    <col min="4611" max="4611" width="11.140625" style="15" bestFit="1" customWidth="1"/>
    <col min="4612" max="4612" width="9.140625" style="15"/>
    <col min="4613" max="4613" width="11.28515625" style="15" customWidth="1"/>
    <col min="4614" max="4864" width="9.140625" style="15"/>
    <col min="4865" max="4865" width="48.85546875" style="15" customWidth="1"/>
    <col min="4866" max="4866" width="11" style="15" bestFit="1" customWidth="1"/>
    <col min="4867" max="4867" width="11.140625" style="15" bestFit="1" customWidth="1"/>
    <col min="4868" max="4868" width="9.140625" style="15"/>
    <col min="4869" max="4869" width="11.28515625" style="15" customWidth="1"/>
    <col min="4870" max="5120" width="9.140625" style="15"/>
    <col min="5121" max="5121" width="48.85546875" style="15" customWidth="1"/>
    <col min="5122" max="5122" width="11" style="15" bestFit="1" customWidth="1"/>
    <col min="5123" max="5123" width="11.140625" style="15" bestFit="1" customWidth="1"/>
    <col min="5124" max="5124" width="9.140625" style="15"/>
    <col min="5125" max="5125" width="11.28515625" style="15" customWidth="1"/>
    <col min="5126" max="5376" width="9.140625" style="15"/>
    <col min="5377" max="5377" width="48.85546875" style="15" customWidth="1"/>
    <col min="5378" max="5378" width="11" style="15" bestFit="1" customWidth="1"/>
    <col min="5379" max="5379" width="11.140625" style="15" bestFit="1" customWidth="1"/>
    <col min="5380" max="5380" width="9.140625" style="15"/>
    <col min="5381" max="5381" width="11.28515625" style="15" customWidth="1"/>
    <col min="5382" max="5632" width="9.140625" style="15"/>
    <col min="5633" max="5633" width="48.85546875" style="15" customWidth="1"/>
    <col min="5634" max="5634" width="11" style="15" bestFit="1" customWidth="1"/>
    <col min="5635" max="5635" width="11.140625" style="15" bestFit="1" customWidth="1"/>
    <col min="5636" max="5636" width="9.140625" style="15"/>
    <col min="5637" max="5637" width="11.28515625" style="15" customWidth="1"/>
    <col min="5638" max="5888" width="9.140625" style="15"/>
    <col min="5889" max="5889" width="48.85546875" style="15" customWidth="1"/>
    <col min="5890" max="5890" width="11" style="15" bestFit="1" customWidth="1"/>
    <col min="5891" max="5891" width="11.140625" style="15" bestFit="1" customWidth="1"/>
    <col min="5892" max="5892" width="9.140625" style="15"/>
    <col min="5893" max="5893" width="11.28515625" style="15" customWidth="1"/>
    <col min="5894" max="6144" width="9.140625" style="15"/>
    <col min="6145" max="6145" width="48.85546875" style="15" customWidth="1"/>
    <col min="6146" max="6146" width="11" style="15" bestFit="1" customWidth="1"/>
    <col min="6147" max="6147" width="11.140625" style="15" bestFit="1" customWidth="1"/>
    <col min="6148" max="6148" width="9.140625" style="15"/>
    <col min="6149" max="6149" width="11.28515625" style="15" customWidth="1"/>
    <col min="6150" max="6400" width="9.140625" style="15"/>
    <col min="6401" max="6401" width="48.85546875" style="15" customWidth="1"/>
    <col min="6402" max="6402" width="11" style="15" bestFit="1" customWidth="1"/>
    <col min="6403" max="6403" width="11.140625" style="15" bestFit="1" customWidth="1"/>
    <col min="6404" max="6404" width="9.140625" style="15"/>
    <col min="6405" max="6405" width="11.28515625" style="15" customWidth="1"/>
    <col min="6406" max="6656" width="9.140625" style="15"/>
    <col min="6657" max="6657" width="48.85546875" style="15" customWidth="1"/>
    <col min="6658" max="6658" width="11" style="15" bestFit="1" customWidth="1"/>
    <col min="6659" max="6659" width="11.140625" style="15" bestFit="1" customWidth="1"/>
    <col min="6660" max="6660" width="9.140625" style="15"/>
    <col min="6661" max="6661" width="11.28515625" style="15" customWidth="1"/>
    <col min="6662" max="6912" width="9.140625" style="15"/>
    <col min="6913" max="6913" width="48.85546875" style="15" customWidth="1"/>
    <col min="6914" max="6914" width="11" style="15" bestFit="1" customWidth="1"/>
    <col min="6915" max="6915" width="11.140625" style="15" bestFit="1" customWidth="1"/>
    <col min="6916" max="6916" width="9.140625" style="15"/>
    <col min="6917" max="6917" width="11.28515625" style="15" customWidth="1"/>
    <col min="6918" max="7168" width="9.140625" style="15"/>
    <col min="7169" max="7169" width="48.85546875" style="15" customWidth="1"/>
    <col min="7170" max="7170" width="11" style="15" bestFit="1" customWidth="1"/>
    <col min="7171" max="7171" width="11.140625" style="15" bestFit="1" customWidth="1"/>
    <col min="7172" max="7172" width="9.140625" style="15"/>
    <col min="7173" max="7173" width="11.28515625" style="15" customWidth="1"/>
    <col min="7174" max="7424" width="9.140625" style="15"/>
    <col min="7425" max="7425" width="48.85546875" style="15" customWidth="1"/>
    <col min="7426" max="7426" width="11" style="15" bestFit="1" customWidth="1"/>
    <col min="7427" max="7427" width="11.140625" style="15" bestFit="1" customWidth="1"/>
    <col min="7428" max="7428" width="9.140625" style="15"/>
    <col min="7429" max="7429" width="11.28515625" style="15" customWidth="1"/>
    <col min="7430" max="7680" width="9.140625" style="15"/>
    <col min="7681" max="7681" width="48.85546875" style="15" customWidth="1"/>
    <col min="7682" max="7682" width="11" style="15" bestFit="1" customWidth="1"/>
    <col min="7683" max="7683" width="11.140625" style="15" bestFit="1" customWidth="1"/>
    <col min="7684" max="7684" width="9.140625" style="15"/>
    <col min="7685" max="7685" width="11.28515625" style="15" customWidth="1"/>
    <col min="7686" max="7936" width="9.140625" style="15"/>
    <col min="7937" max="7937" width="48.85546875" style="15" customWidth="1"/>
    <col min="7938" max="7938" width="11" style="15" bestFit="1" customWidth="1"/>
    <col min="7939" max="7939" width="11.140625" style="15" bestFit="1" customWidth="1"/>
    <col min="7940" max="7940" width="9.140625" style="15"/>
    <col min="7941" max="7941" width="11.28515625" style="15" customWidth="1"/>
    <col min="7942" max="8192" width="9.140625" style="15"/>
    <col min="8193" max="8193" width="48.85546875" style="15" customWidth="1"/>
    <col min="8194" max="8194" width="11" style="15" bestFit="1" customWidth="1"/>
    <col min="8195" max="8195" width="11.140625" style="15" bestFit="1" customWidth="1"/>
    <col min="8196" max="8196" width="9.140625" style="15"/>
    <col min="8197" max="8197" width="11.28515625" style="15" customWidth="1"/>
    <col min="8198" max="8448" width="9.140625" style="15"/>
    <col min="8449" max="8449" width="48.85546875" style="15" customWidth="1"/>
    <col min="8450" max="8450" width="11" style="15" bestFit="1" customWidth="1"/>
    <col min="8451" max="8451" width="11.140625" style="15" bestFit="1" customWidth="1"/>
    <col min="8452" max="8452" width="9.140625" style="15"/>
    <col min="8453" max="8453" width="11.28515625" style="15" customWidth="1"/>
    <col min="8454" max="8704" width="9.140625" style="15"/>
    <col min="8705" max="8705" width="48.85546875" style="15" customWidth="1"/>
    <col min="8706" max="8706" width="11" style="15" bestFit="1" customWidth="1"/>
    <col min="8707" max="8707" width="11.140625" style="15" bestFit="1" customWidth="1"/>
    <col min="8708" max="8708" width="9.140625" style="15"/>
    <col min="8709" max="8709" width="11.28515625" style="15" customWidth="1"/>
    <col min="8710" max="8960" width="9.140625" style="15"/>
    <col min="8961" max="8961" width="48.85546875" style="15" customWidth="1"/>
    <col min="8962" max="8962" width="11" style="15" bestFit="1" customWidth="1"/>
    <col min="8963" max="8963" width="11.140625" style="15" bestFit="1" customWidth="1"/>
    <col min="8964" max="8964" width="9.140625" style="15"/>
    <col min="8965" max="8965" width="11.28515625" style="15" customWidth="1"/>
    <col min="8966" max="9216" width="9.140625" style="15"/>
    <col min="9217" max="9217" width="48.85546875" style="15" customWidth="1"/>
    <col min="9218" max="9218" width="11" style="15" bestFit="1" customWidth="1"/>
    <col min="9219" max="9219" width="11.140625" style="15" bestFit="1" customWidth="1"/>
    <col min="9220" max="9220" width="9.140625" style="15"/>
    <col min="9221" max="9221" width="11.28515625" style="15" customWidth="1"/>
    <col min="9222" max="9472" width="9.140625" style="15"/>
    <col min="9473" max="9473" width="48.85546875" style="15" customWidth="1"/>
    <col min="9474" max="9474" width="11" style="15" bestFit="1" customWidth="1"/>
    <col min="9475" max="9475" width="11.140625" style="15" bestFit="1" customWidth="1"/>
    <col min="9476" max="9476" width="9.140625" style="15"/>
    <col min="9477" max="9477" width="11.28515625" style="15" customWidth="1"/>
    <col min="9478" max="9728" width="9.140625" style="15"/>
    <col min="9729" max="9729" width="48.85546875" style="15" customWidth="1"/>
    <col min="9730" max="9730" width="11" style="15" bestFit="1" customWidth="1"/>
    <col min="9731" max="9731" width="11.140625" style="15" bestFit="1" customWidth="1"/>
    <col min="9732" max="9732" width="9.140625" style="15"/>
    <col min="9733" max="9733" width="11.28515625" style="15" customWidth="1"/>
    <col min="9734" max="9984" width="9.140625" style="15"/>
    <col min="9985" max="9985" width="48.85546875" style="15" customWidth="1"/>
    <col min="9986" max="9986" width="11" style="15" bestFit="1" customWidth="1"/>
    <col min="9987" max="9987" width="11.140625" style="15" bestFit="1" customWidth="1"/>
    <col min="9988" max="9988" width="9.140625" style="15"/>
    <col min="9989" max="9989" width="11.28515625" style="15" customWidth="1"/>
    <col min="9990" max="10240" width="9.140625" style="15"/>
    <col min="10241" max="10241" width="48.85546875" style="15" customWidth="1"/>
    <col min="10242" max="10242" width="11" style="15" bestFit="1" customWidth="1"/>
    <col min="10243" max="10243" width="11.140625" style="15" bestFit="1" customWidth="1"/>
    <col min="10244" max="10244" width="9.140625" style="15"/>
    <col min="10245" max="10245" width="11.28515625" style="15" customWidth="1"/>
    <col min="10246" max="10496" width="9.140625" style="15"/>
    <col min="10497" max="10497" width="48.85546875" style="15" customWidth="1"/>
    <col min="10498" max="10498" width="11" style="15" bestFit="1" customWidth="1"/>
    <col min="10499" max="10499" width="11.140625" style="15" bestFit="1" customWidth="1"/>
    <col min="10500" max="10500" width="9.140625" style="15"/>
    <col min="10501" max="10501" width="11.28515625" style="15" customWidth="1"/>
    <col min="10502" max="10752" width="9.140625" style="15"/>
    <col min="10753" max="10753" width="48.85546875" style="15" customWidth="1"/>
    <col min="10754" max="10754" width="11" style="15" bestFit="1" customWidth="1"/>
    <col min="10755" max="10755" width="11.140625" style="15" bestFit="1" customWidth="1"/>
    <col min="10756" max="10756" width="9.140625" style="15"/>
    <col min="10757" max="10757" width="11.28515625" style="15" customWidth="1"/>
    <col min="10758" max="11008" width="9.140625" style="15"/>
    <col min="11009" max="11009" width="48.85546875" style="15" customWidth="1"/>
    <col min="11010" max="11010" width="11" style="15" bestFit="1" customWidth="1"/>
    <col min="11011" max="11011" width="11.140625" style="15" bestFit="1" customWidth="1"/>
    <col min="11012" max="11012" width="9.140625" style="15"/>
    <col min="11013" max="11013" width="11.28515625" style="15" customWidth="1"/>
    <col min="11014" max="11264" width="9.140625" style="15"/>
    <col min="11265" max="11265" width="48.85546875" style="15" customWidth="1"/>
    <col min="11266" max="11266" width="11" style="15" bestFit="1" customWidth="1"/>
    <col min="11267" max="11267" width="11.140625" style="15" bestFit="1" customWidth="1"/>
    <col min="11268" max="11268" width="9.140625" style="15"/>
    <col min="11269" max="11269" width="11.28515625" style="15" customWidth="1"/>
    <col min="11270" max="11520" width="9.140625" style="15"/>
    <col min="11521" max="11521" width="48.85546875" style="15" customWidth="1"/>
    <col min="11522" max="11522" width="11" style="15" bestFit="1" customWidth="1"/>
    <col min="11523" max="11523" width="11.140625" style="15" bestFit="1" customWidth="1"/>
    <col min="11524" max="11524" width="9.140625" style="15"/>
    <col min="11525" max="11525" width="11.28515625" style="15" customWidth="1"/>
    <col min="11526" max="11776" width="9.140625" style="15"/>
    <col min="11777" max="11777" width="48.85546875" style="15" customWidth="1"/>
    <col min="11778" max="11778" width="11" style="15" bestFit="1" customWidth="1"/>
    <col min="11779" max="11779" width="11.140625" style="15" bestFit="1" customWidth="1"/>
    <col min="11780" max="11780" width="9.140625" style="15"/>
    <col min="11781" max="11781" width="11.28515625" style="15" customWidth="1"/>
    <col min="11782" max="12032" width="9.140625" style="15"/>
    <col min="12033" max="12033" width="48.85546875" style="15" customWidth="1"/>
    <col min="12034" max="12034" width="11" style="15" bestFit="1" customWidth="1"/>
    <col min="12035" max="12035" width="11.140625" style="15" bestFit="1" customWidth="1"/>
    <col min="12036" max="12036" width="9.140625" style="15"/>
    <col min="12037" max="12037" width="11.28515625" style="15" customWidth="1"/>
    <col min="12038" max="12288" width="9.140625" style="15"/>
    <col min="12289" max="12289" width="48.85546875" style="15" customWidth="1"/>
    <col min="12290" max="12290" width="11" style="15" bestFit="1" customWidth="1"/>
    <col min="12291" max="12291" width="11.140625" style="15" bestFit="1" customWidth="1"/>
    <col min="12292" max="12292" width="9.140625" style="15"/>
    <col min="12293" max="12293" width="11.28515625" style="15" customWidth="1"/>
    <col min="12294" max="12544" width="9.140625" style="15"/>
    <col min="12545" max="12545" width="48.85546875" style="15" customWidth="1"/>
    <col min="12546" max="12546" width="11" style="15" bestFit="1" customWidth="1"/>
    <col min="12547" max="12547" width="11.140625" style="15" bestFit="1" customWidth="1"/>
    <col min="12548" max="12548" width="9.140625" style="15"/>
    <col min="12549" max="12549" width="11.28515625" style="15" customWidth="1"/>
    <col min="12550" max="12800" width="9.140625" style="15"/>
    <col min="12801" max="12801" width="48.85546875" style="15" customWidth="1"/>
    <col min="12802" max="12802" width="11" style="15" bestFit="1" customWidth="1"/>
    <col min="12803" max="12803" width="11.140625" style="15" bestFit="1" customWidth="1"/>
    <col min="12804" max="12804" width="9.140625" style="15"/>
    <col min="12805" max="12805" width="11.28515625" style="15" customWidth="1"/>
    <col min="12806" max="13056" width="9.140625" style="15"/>
    <col min="13057" max="13057" width="48.85546875" style="15" customWidth="1"/>
    <col min="13058" max="13058" width="11" style="15" bestFit="1" customWidth="1"/>
    <col min="13059" max="13059" width="11.140625" style="15" bestFit="1" customWidth="1"/>
    <col min="13060" max="13060" width="9.140625" style="15"/>
    <col min="13061" max="13061" width="11.28515625" style="15" customWidth="1"/>
    <col min="13062" max="13312" width="9.140625" style="15"/>
    <col min="13313" max="13313" width="48.85546875" style="15" customWidth="1"/>
    <col min="13314" max="13314" width="11" style="15" bestFit="1" customWidth="1"/>
    <col min="13315" max="13315" width="11.140625" style="15" bestFit="1" customWidth="1"/>
    <col min="13316" max="13316" width="9.140625" style="15"/>
    <col min="13317" max="13317" width="11.28515625" style="15" customWidth="1"/>
    <col min="13318" max="13568" width="9.140625" style="15"/>
    <col min="13569" max="13569" width="48.85546875" style="15" customWidth="1"/>
    <col min="13570" max="13570" width="11" style="15" bestFit="1" customWidth="1"/>
    <col min="13571" max="13571" width="11.140625" style="15" bestFit="1" customWidth="1"/>
    <col min="13572" max="13572" width="9.140625" style="15"/>
    <col min="13573" max="13573" width="11.28515625" style="15" customWidth="1"/>
    <col min="13574" max="13824" width="9.140625" style="15"/>
    <col min="13825" max="13825" width="48.85546875" style="15" customWidth="1"/>
    <col min="13826" max="13826" width="11" style="15" bestFit="1" customWidth="1"/>
    <col min="13827" max="13827" width="11.140625" style="15" bestFit="1" customWidth="1"/>
    <col min="13828" max="13828" width="9.140625" style="15"/>
    <col min="13829" max="13829" width="11.28515625" style="15" customWidth="1"/>
    <col min="13830" max="14080" width="9.140625" style="15"/>
    <col min="14081" max="14081" width="48.85546875" style="15" customWidth="1"/>
    <col min="14082" max="14082" width="11" style="15" bestFit="1" customWidth="1"/>
    <col min="14083" max="14083" width="11.140625" style="15" bestFit="1" customWidth="1"/>
    <col min="14084" max="14084" width="9.140625" style="15"/>
    <col min="14085" max="14085" width="11.28515625" style="15" customWidth="1"/>
    <col min="14086" max="14336" width="9.140625" style="15"/>
    <col min="14337" max="14337" width="48.85546875" style="15" customWidth="1"/>
    <col min="14338" max="14338" width="11" style="15" bestFit="1" customWidth="1"/>
    <col min="14339" max="14339" width="11.140625" style="15" bestFit="1" customWidth="1"/>
    <col min="14340" max="14340" width="9.140625" style="15"/>
    <col min="14341" max="14341" width="11.28515625" style="15" customWidth="1"/>
    <col min="14342" max="14592" width="9.140625" style="15"/>
    <col min="14593" max="14593" width="48.85546875" style="15" customWidth="1"/>
    <col min="14594" max="14594" width="11" style="15" bestFit="1" customWidth="1"/>
    <col min="14595" max="14595" width="11.140625" style="15" bestFit="1" customWidth="1"/>
    <col min="14596" max="14596" width="9.140625" style="15"/>
    <col min="14597" max="14597" width="11.28515625" style="15" customWidth="1"/>
    <col min="14598" max="14848" width="9.140625" style="15"/>
    <col min="14849" max="14849" width="48.85546875" style="15" customWidth="1"/>
    <col min="14850" max="14850" width="11" style="15" bestFit="1" customWidth="1"/>
    <col min="14851" max="14851" width="11.140625" style="15" bestFit="1" customWidth="1"/>
    <col min="14852" max="14852" width="9.140625" style="15"/>
    <col min="14853" max="14853" width="11.28515625" style="15" customWidth="1"/>
    <col min="14854" max="15104" width="9.140625" style="15"/>
    <col min="15105" max="15105" width="48.85546875" style="15" customWidth="1"/>
    <col min="15106" max="15106" width="11" style="15" bestFit="1" customWidth="1"/>
    <col min="15107" max="15107" width="11.140625" style="15" bestFit="1" customWidth="1"/>
    <col min="15108" max="15108" width="9.140625" style="15"/>
    <col min="15109" max="15109" width="11.28515625" style="15" customWidth="1"/>
    <col min="15110" max="15360" width="9.140625" style="15"/>
    <col min="15361" max="15361" width="48.85546875" style="15" customWidth="1"/>
    <col min="15362" max="15362" width="11" style="15" bestFit="1" customWidth="1"/>
    <col min="15363" max="15363" width="11.140625" style="15" bestFit="1" customWidth="1"/>
    <col min="15364" max="15364" width="9.140625" style="15"/>
    <col min="15365" max="15365" width="11.28515625" style="15" customWidth="1"/>
    <col min="15366" max="15616" width="9.140625" style="15"/>
    <col min="15617" max="15617" width="48.85546875" style="15" customWidth="1"/>
    <col min="15618" max="15618" width="11" style="15" bestFit="1" customWidth="1"/>
    <col min="15619" max="15619" width="11.140625" style="15" bestFit="1" customWidth="1"/>
    <col min="15620" max="15620" width="9.140625" style="15"/>
    <col min="15621" max="15621" width="11.28515625" style="15" customWidth="1"/>
    <col min="15622" max="15872" width="9.140625" style="15"/>
    <col min="15873" max="15873" width="48.85546875" style="15" customWidth="1"/>
    <col min="15874" max="15874" width="11" style="15" bestFit="1" customWidth="1"/>
    <col min="15875" max="15875" width="11.140625" style="15" bestFit="1" customWidth="1"/>
    <col min="15876" max="15876" width="9.140625" style="15"/>
    <col min="15877" max="15877" width="11.28515625" style="15" customWidth="1"/>
    <col min="15878" max="16128" width="9.140625" style="15"/>
    <col min="16129" max="16129" width="48.85546875" style="15" customWidth="1"/>
    <col min="16130" max="16130" width="11" style="15" bestFit="1" customWidth="1"/>
    <col min="16131" max="16131" width="11.140625" style="15" bestFit="1" customWidth="1"/>
    <col min="16132" max="16132" width="9.140625" style="15"/>
    <col min="16133" max="16133" width="11.28515625" style="15" customWidth="1"/>
    <col min="16134" max="16384" width="9.140625" style="15"/>
  </cols>
  <sheetData>
    <row r="1" spans="1:5" x14ac:dyDescent="0.25">
      <c r="A1" s="396" t="s">
        <v>184</v>
      </c>
      <c r="B1" s="409">
        <f>'DRE 2013'!F45</f>
        <v>16533.854988208113</v>
      </c>
    </row>
    <row r="2" spans="1:5" x14ac:dyDescent="0.25">
      <c r="A2" s="397" t="s">
        <v>570</v>
      </c>
      <c r="B2" s="429"/>
    </row>
    <row r="3" spans="1:5" x14ac:dyDescent="0.25">
      <c r="A3" s="398" t="s">
        <v>571</v>
      </c>
      <c r="B3" s="409">
        <f>'FC PT 2 '!B26</f>
        <v>20433.333333333336</v>
      </c>
    </row>
    <row r="4" spans="1:5" x14ac:dyDescent="0.25">
      <c r="A4" s="399" t="s">
        <v>572</v>
      </c>
      <c r="B4" s="409">
        <v>300</v>
      </c>
      <c r="C4" s="20" t="s">
        <v>615</v>
      </c>
    </row>
    <row r="5" spans="1:5" x14ac:dyDescent="0.25">
      <c r="A5" s="399" t="s">
        <v>573</v>
      </c>
      <c r="B5" s="430">
        <v>300</v>
      </c>
      <c r="C5" s="20" t="s">
        <v>615</v>
      </c>
      <c r="D5" s="78"/>
      <c r="E5" s="78"/>
    </row>
    <row r="6" spans="1:5" x14ac:dyDescent="0.25">
      <c r="A6" s="399" t="s">
        <v>574</v>
      </c>
      <c r="B6" s="431">
        <v>-2000</v>
      </c>
      <c r="C6" s="20" t="s">
        <v>616</v>
      </c>
      <c r="D6" s="78"/>
      <c r="E6" s="78"/>
    </row>
    <row r="7" spans="1:5" x14ac:dyDescent="0.25">
      <c r="A7" s="398" t="s">
        <v>575</v>
      </c>
      <c r="B7" s="431">
        <f>-'FC PT 2 '!C13</f>
        <v>-224</v>
      </c>
      <c r="C7" s="20"/>
      <c r="D7" s="78"/>
      <c r="E7" s="78"/>
    </row>
    <row r="8" spans="1:5" x14ac:dyDescent="0.25">
      <c r="A8" s="398" t="s">
        <v>576</v>
      </c>
      <c r="B8" s="431">
        <f>'FC PT 2 '!B8</f>
        <v>4115</v>
      </c>
      <c r="D8" s="78"/>
      <c r="E8" s="78"/>
    </row>
    <row r="9" spans="1:5" x14ac:dyDescent="0.25">
      <c r="A9" s="398" t="s">
        <v>620</v>
      </c>
      <c r="B9" s="431">
        <f>'FC PT 2 '!B11</f>
        <v>638</v>
      </c>
      <c r="D9" s="78"/>
      <c r="E9" s="78"/>
    </row>
    <row r="10" spans="1:5" x14ac:dyDescent="0.25">
      <c r="A10" s="396" t="s">
        <v>577</v>
      </c>
      <c r="B10" s="432">
        <f>SUM(B1:B9)</f>
        <v>40096.188321541449</v>
      </c>
    </row>
    <row r="11" spans="1:5" x14ac:dyDescent="0.25">
      <c r="A11" s="397" t="s">
        <v>578</v>
      </c>
      <c r="B11" s="429"/>
    </row>
    <row r="12" spans="1:5" x14ac:dyDescent="0.25">
      <c r="A12" s="398" t="s">
        <v>579</v>
      </c>
      <c r="B12" s="409">
        <f>-'FC PT 2 '!C3</f>
        <v>-2110.75</v>
      </c>
    </row>
    <row r="13" spans="1:5" x14ac:dyDescent="0.25">
      <c r="A13" s="399" t="s">
        <v>580</v>
      </c>
      <c r="B13" s="409">
        <f>-'FC PT 2 '!C4-300</f>
        <v>-1630</v>
      </c>
      <c r="C13" s="20" t="s">
        <v>619</v>
      </c>
    </row>
    <row r="14" spans="1:5" x14ac:dyDescent="0.25">
      <c r="A14" s="399" t="s">
        <v>581</v>
      </c>
      <c r="B14" s="409">
        <f>-'FC PT 2 '!C6+1700</f>
        <v>-5500</v>
      </c>
      <c r="D14" s="208"/>
    </row>
    <row r="15" spans="1:5" x14ac:dyDescent="0.25">
      <c r="A15" s="398" t="s">
        <v>582</v>
      </c>
      <c r="B15" s="409">
        <f>-'FC PT 2 '!C7</f>
        <v>-11250</v>
      </c>
      <c r="E15" s="208"/>
    </row>
    <row r="16" spans="1:5" x14ac:dyDescent="0.25">
      <c r="A16" s="398" t="s">
        <v>583</v>
      </c>
      <c r="B16" s="409">
        <f>'FC PT 2 '!B9</f>
        <v>1200</v>
      </c>
      <c r="E16" s="208"/>
    </row>
    <row r="17" spans="1:5" x14ac:dyDescent="0.25">
      <c r="A17" s="398" t="s">
        <v>584</v>
      </c>
      <c r="B17" s="409">
        <f>-'FC PT 2 '!C10</f>
        <v>-32500</v>
      </c>
      <c r="E17" s="208"/>
    </row>
    <row r="18" spans="1:5" x14ac:dyDescent="0.25">
      <c r="A18" s="398" t="s">
        <v>585</v>
      </c>
      <c r="B18" s="409">
        <f>'FC PT 2 '!B12</f>
        <v>3900</v>
      </c>
      <c r="E18" s="208"/>
    </row>
    <row r="19" spans="1:5" x14ac:dyDescent="0.25">
      <c r="A19" s="398" t="s">
        <v>586</v>
      </c>
      <c r="B19" s="409">
        <f>'FC PT 2 '!B14</f>
        <v>1539</v>
      </c>
      <c r="E19" s="208"/>
    </row>
    <row r="20" spans="1:5" x14ac:dyDescent="0.25">
      <c r="A20" s="398" t="s">
        <v>587</v>
      </c>
      <c r="B20" s="409">
        <f>-'FC PT 2 '!C16</f>
        <v>-5393.4964729817366</v>
      </c>
    </row>
    <row r="21" spans="1:5" x14ac:dyDescent="0.25">
      <c r="A21" s="398" t="s">
        <v>588</v>
      </c>
      <c r="B21" s="409">
        <f>-'FC PT 2 '!C15</f>
        <v>-1941.4967302734249</v>
      </c>
    </row>
    <row r="22" spans="1:5" x14ac:dyDescent="0.25">
      <c r="A22" s="400" t="s">
        <v>589</v>
      </c>
      <c r="B22" s="432">
        <f>SUM(B10:B21)</f>
        <v>-13590.554881713713</v>
      </c>
    </row>
    <row r="23" spans="1:5" x14ac:dyDescent="0.25">
      <c r="A23" s="398" t="s">
        <v>621</v>
      </c>
      <c r="B23" s="409">
        <f>-'FC PT 2 '!C30</f>
        <v>-8500</v>
      </c>
    </row>
    <row r="24" spans="1:5" x14ac:dyDescent="0.25">
      <c r="A24" s="398" t="s">
        <v>590</v>
      </c>
      <c r="B24" s="409">
        <f>-'FC PT 2 '!C23</f>
        <v>-30833.333333333332</v>
      </c>
    </row>
    <row r="25" spans="1:5" x14ac:dyDescent="0.25">
      <c r="A25" s="398" t="s">
        <v>591</v>
      </c>
      <c r="B25" s="409">
        <f>-'FC PT 2 '!C29</f>
        <v>-8500</v>
      </c>
    </row>
    <row r="26" spans="1:5" x14ac:dyDescent="0.25">
      <c r="A26" s="398" t="s">
        <v>592</v>
      </c>
      <c r="B26" s="409">
        <f>'FC PT 2 '!B25</f>
        <v>30833.333333333332</v>
      </c>
    </row>
    <row r="27" spans="1:5" x14ac:dyDescent="0.25">
      <c r="A27" s="400" t="s">
        <v>593</v>
      </c>
      <c r="B27" s="433">
        <f>SUM(B23:B26)</f>
        <v>-16999.999999999996</v>
      </c>
    </row>
    <row r="28" spans="1:5" x14ac:dyDescent="0.25">
      <c r="A28" s="398" t="s">
        <v>622</v>
      </c>
      <c r="B28" s="409">
        <f>-'FC PT 2 '!C34</f>
        <v>-17540</v>
      </c>
    </row>
    <row r="29" spans="1:5" x14ac:dyDescent="0.25">
      <c r="A29" s="398" t="s">
        <v>594</v>
      </c>
      <c r="B29" s="434">
        <f>'FC PT 2 '!B34</f>
        <v>9424.2973432786293</v>
      </c>
    </row>
    <row r="30" spans="1:5" x14ac:dyDescent="0.25">
      <c r="A30" s="398" t="s">
        <v>623</v>
      </c>
      <c r="B30" s="409">
        <f>'FC PT 2 '!B41</f>
        <v>1000</v>
      </c>
    </row>
    <row r="31" spans="1:5" x14ac:dyDescent="0.25">
      <c r="A31" s="398" t="s">
        <v>595</v>
      </c>
      <c r="B31" s="434">
        <f>-'FC PT 2 '!C43</f>
        <v>-9424.2973432786293</v>
      </c>
    </row>
    <row r="32" spans="1:5" x14ac:dyDescent="0.25">
      <c r="A32" s="400" t="s">
        <v>596</v>
      </c>
      <c r="B32" s="432">
        <f>SUM(B28:B31)</f>
        <v>-16540</v>
      </c>
    </row>
    <row r="33" spans="1:5" s="370" customFormat="1" x14ac:dyDescent="0.25">
      <c r="A33" s="400" t="s">
        <v>597</v>
      </c>
      <c r="B33" s="432">
        <f>B22+B27+B32</f>
        <v>-47130.55488171371</v>
      </c>
      <c r="C33" s="428">
        <f>B33-'FC PT 1 '!D3</f>
        <v>0.96511828630900709</v>
      </c>
      <c r="D33" s="15"/>
      <c r="E33" s="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70" zoomScaleNormal="170" workbookViewId="0"/>
  </sheetViews>
  <sheetFormatPr defaultRowHeight="15" x14ac:dyDescent="0.25"/>
  <cols>
    <col min="1" max="1" width="48.85546875" style="371" customWidth="1"/>
    <col min="2" max="2" width="11" style="435" bestFit="1" customWidth="1"/>
    <col min="3" max="3" width="11.140625" style="370" bestFit="1" customWidth="1"/>
    <col min="4" max="4" width="9.140625" style="15"/>
    <col min="5" max="5" width="11.28515625" style="15" customWidth="1"/>
    <col min="6" max="256" width="9.140625" style="15"/>
    <col min="257" max="257" width="48.85546875" style="15" customWidth="1"/>
    <col min="258" max="258" width="11" style="15" bestFit="1" customWidth="1"/>
    <col min="259" max="259" width="11.140625" style="15" bestFit="1" customWidth="1"/>
    <col min="260" max="260" width="9.140625" style="15"/>
    <col min="261" max="261" width="11.28515625" style="15" customWidth="1"/>
    <col min="262" max="512" width="9.140625" style="15"/>
    <col min="513" max="513" width="48.85546875" style="15" customWidth="1"/>
    <col min="514" max="514" width="11" style="15" bestFit="1" customWidth="1"/>
    <col min="515" max="515" width="11.140625" style="15" bestFit="1" customWidth="1"/>
    <col min="516" max="516" width="9.140625" style="15"/>
    <col min="517" max="517" width="11.28515625" style="15" customWidth="1"/>
    <col min="518" max="768" width="9.140625" style="15"/>
    <col min="769" max="769" width="48.85546875" style="15" customWidth="1"/>
    <col min="770" max="770" width="11" style="15" bestFit="1" customWidth="1"/>
    <col min="771" max="771" width="11.140625" style="15" bestFit="1" customWidth="1"/>
    <col min="772" max="772" width="9.140625" style="15"/>
    <col min="773" max="773" width="11.28515625" style="15" customWidth="1"/>
    <col min="774" max="1024" width="9.140625" style="15"/>
    <col min="1025" max="1025" width="48.85546875" style="15" customWidth="1"/>
    <col min="1026" max="1026" width="11" style="15" bestFit="1" customWidth="1"/>
    <col min="1027" max="1027" width="11.140625" style="15" bestFit="1" customWidth="1"/>
    <col min="1028" max="1028" width="9.140625" style="15"/>
    <col min="1029" max="1029" width="11.28515625" style="15" customWidth="1"/>
    <col min="1030" max="1280" width="9.140625" style="15"/>
    <col min="1281" max="1281" width="48.85546875" style="15" customWidth="1"/>
    <col min="1282" max="1282" width="11" style="15" bestFit="1" customWidth="1"/>
    <col min="1283" max="1283" width="11.140625" style="15" bestFit="1" customWidth="1"/>
    <col min="1284" max="1284" width="9.140625" style="15"/>
    <col min="1285" max="1285" width="11.28515625" style="15" customWidth="1"/>
    <col min="1286" max="1536" width="9.140625" style="15"/>
    <col min="1537" max="1537" width="48.85546875" style="15" customWidth="1"/>
    <col min="1538" max="1538" width="11" style="15" bestFit="1" customWidth="1"/>
    <col min="1539" max="1539" width="11.140625" style="15" bestFit="1" customWidth="1"/>
    <col min="1540" max="1540" width="9.140625" style="15"/>
    <col min="1541" max="1541" width="11.28515625" style="15" customWidth="1"/>
    <col min="1542" max="1792" width="9.140625" style="15"/>
    <col min="1793" max="1793" width="48.85546875" style="15" customWidth="1"/>
    <col min="1794" max="1794" width="11" style="15" bestFit="1" customWidth="1"/>
    <col min="1795" max="1795" width="11.140625" style="15" bestFit="1" customWidth="1"/>
    <col min="1796" max="1796" width="9.140625" style="15"/>
    <col min="1797" max="1797" width="11.28515625" style="15" customWidth="1"/>
    <col min="1798" max="2048" width="9.140625" style="15"/>
    <col min="2049" max="2049" width="48.85546875" style="15" customWidth="1"/>
    <col min="2050" max="2050" width="11" style="15" bestFit="1" customWidth="1"/>
    <col min="2051" max="2051" width="11.140625" style="15" bestFit="1" customWidth="1"/>
    <col min="2052" max="2052" width="9.140625" style="15"/>
    <col min="2053" max="2053" width="11.28515625" style="15" customWidth="1"/>
    <col min="2054" max="2304" width="9.140625" style="15"/>
    <col min="2305" max="2305" width="48.85546875" style="15" customWidth="1"/>
    <col min="2306" max="2306" width="11" style="15" bestFit="1" customWidth="1"/>
    <col min="2307" max="2307" width="11.140625" style="15" bestFit="1" customWidth="1"/>
    <col min="2308" max="2308" width="9.140625" style="15"/>
    <col min="2309" max="2309" width="11.28515625" style="15" customWidth="1"/>
    <col min="2310" max="2560" width="9.140625" style="15"/>
    <col min="2561" max="2561" width="48.85546875" style="15" customWidth="1"/>
    <col min="2562" max="2562" width="11" style="15" bestFit="1" customWidth="1"/>
    <col min="2563" max="2563" width="11.140625" style="15" bestFit="1" customWidth="1"/>
    <col min="2564" max="2564" width="9.140625" style="15"/>
    <col min="2565" max="2565" width="11.28515625" style="15" customWidth="1"/>
    <col min="2566" max="2816" width="9.140625" style="15"/>
    <col min="2817" max="2817" width="48.85546875" style="15" customWidth="1"/>
    <col min="2818" max="2818" width="11" style="15" bestFit="1" customWidth="1"/>
    <col min="2819" max="2819" width="11.140625" style="15" bestFit="1" customWidth="1"/>
    <col min="2820" max="2820" width="9.140625" style="15"/>
    <col min="2821" max="2821" width="11.28515625" style="15" customWidth="1"/>
    <col min="2822" max="3072" width="9.140625" style="15"/>
    <col min="3073" max="3073" width="48.85546875" style="15" customWidth="1"/>
    <col min="3074" max="3074" width="11" style="15" bestFit="1" customWidth="1"/>
    <col min="3075" max="3075" width="11.140625" style="15" bestFit="1" customWidth="1"/>
    <col min="3076" max="3076" width="9.140625" style="15"/>
    <col min="3077" max="3077" width="11.28515625" style="15" customWidth="1"/>
    <col min="3078" max="3328" width="9.140625" style="15"/>
    <col min="3329" max="3329" width="48.85546875" style="15" customWidth="1"/>
    <col min="3330" max="3330" width="11" style="15" bestFit="1" customWidth="1"/>
    <col min="3331" max="3331" width="11.140625" style="15" bestFit="1" customWidth="1"/>
    <col min="3332" max="3332" width="9.140625" style="15"/>
    <col min="3333" max="3333" width="11.28515625" style="15" customWidth="1"/>
    <col min="3334" max="3584" width="9.140625" style="15"/>
    <col min="3585" max="3585" width="48.85546875" style="15" customWidth="1"/>
    <col min="3586" max="3586" width="11" style="15" bestFit="1" customWidth="1"/>
    <col min="3587" max="3587" width="11.140625" style="15" bestFit="1" customWidth="1"/>
    <col min="3588" max="3588" width="9.140625" style="15"/>
    <col min="3589" max="3589" width="11.28515625" style="15" customWidth="1"/>
    <col min="3590" max="3840" width="9.140625" style="15"/>
    <col min="3841" max="3841" width="48.85546875" style="15" customWidth="1"/>
    <col min="3842" max="3842" width="11" style="15" bestFit="1" customWidth="1"/>
    <col min="3843" max="3843" width="11.140625" style="15" bestFit="1" customWidth="1"/>
    <col min="3844" max="3844" width="9.140625" style="15"/>
    <col min="3845" max="3845" width="11.28515625" style="15" customWidth="1"/>
    <col min="3846" max="4096" width="9.140625" style="15"/>
    <col min="4097" max="4097" width="48.85546875" style="15" customWidth="1"/>
    <col min="4098" max="4098" width="11" style="15" bestFit="1" customWidth="1"/>
    <col min="4099" max="4099" width="11.140625" style="15" bestFit="1" customWidth="1"/>
    <col min="4100" max="4100" width="9.140625" style="15"/>
    <col min="4101" max="4101" width="11.28515625" style="15" customWidth="1"/>
    <col min="4102" max="4352" width="9.140625" style="15"/>
    <col min="4353" max="4353" width="48.85546875" style="15" customWidth="1"/>
    <col min="4354" max="4354" width="11" style="15" bestFit="1" customWidth="1"/>
    <col min="4355" max="4355" width="11.140625" style="15" bestFit="1" customWidth="1"/>
    <col min="4356" max="4356" width="9.140625" style="15"/>
    <col min="4357" max="4357" width="11.28515625" style="15" customWidth="1"/>
    <col min="4358" max="4608" width="9.140625" style="15"/>
    <col min="4609" max="4609" width="48.85546875" style="15" customWidth="1"/>
    <col min="4610" max="4610" width="11" style="15" bestFit="1" customWidth="1"/>
    <col min="4611" max="4611" width="11.140625" style="15" bestFit="1" customWidth="1"/>
    <col min="4612" max="4612" width="9.140625" style="15"/>
    <col min="4613" max="4613" width="11.28515625" style="15" customWidth="1"/>
    <col min="4614" max="4864" width="9.140625" style="15"/>
    <col min="4865" max="4865" width="48.85546875" style="15" customWidth="1"/>
    <col min="4866" max="4866" width="11" style="15" bestFit="1" customWidth="1"/>
    <col min="4867" max="4867" width="11.140625" style="15" bestFit="1" customWidth="1"/>
    <col min="4868" max="4868" width="9.140625" style="15"/>
    <col min="4869" max="4869" width="11.28515625" style="15" customWidth="1"/>
    <col min="4870" max="5120" width="9.140625" style="15"/>
    <col min="5121" max="5121" width="48.85546875" style="15" customWidth="1"/>
    <col min="5122" max="5122" width="11" style="15" bestFit="1" customWidth="1"/>
    <col min="5123" max="5123" width="11.140625" style="15" bestFit="1" customWidth="1"/>
    <col min="5124" max="5124" width="9.140625" style="15"/>
    <col min="5125" max="5125" width="11.28515625" style="15" customWidth="1"/>
    <col min="5126" max="5376" width="9.140625" style="15"/>
    <col min="5377" max="5377" width="48.85546875" style="15" customWidth="1"/>
    <col min="5378" max="5378" width="11" style="15" bestFit="1" customWidth="1"/>
    <col min="5379" max="5379" width="11.140625" style="15" bestFit="1" customWidth="1"/>
    <col min="5380" max="5380" width="9.140625" style="15"/>
    <col min="5381" max="5381" width="11.28515625" style="15" customWidth="1"/>
    <col min="5382" max="5632" width="9.140625" style="15"/>
    <col min="5633" max="5633" width="48.85546875" style="15" customWidth="1"/>
    <col min="5634" max="5634" width="11" style="15" bestFit="1" customWidth="1"/>
    <col min="5635" max="5635" width="11.140625" style="15" bestFit="1" customWidth="1"/>
    <col min="5636" max="5636" width="9.140625" style="15"/>
    <col min="5637" max="5637" width="11.28515625" style="15" customWidth="1"/>
    <col min="5638" max="5888" width="9.140625" style="15"/>
    <col min="5889" max="5889" width="48.85546875" style="15" customWidth="1"/>
    <col min="5890" max="5890" width="11" style="15" bestFit="1" customWidth="1"/>
    <col min="5891" max="5891" width="11.140625" style="15" bestFit="1" customWidth="1"/>
    <col min="5892" max="5892" width="9.140625" style="15"/>
    <col min="5893" max="5893" width="11.28515625" style="15" customWidth="1"/>
    <col min="5894" max="6144" width="9.140625" style="15"/>
    <col min="6145" max="6145" width="48.85546875" style="15" customWidth="1"/>
    <col min="6146" max="6146" width="11" style="15" bestFit="1" customWidth="1"/>
    <col min="6147" max="6147" width="11.140625" style="15" bestFit="1" customWidth="1"/>
    <col min="6148" max="6148" width="9.140625" style="15"/>
    <col min="6149" max="6149" width="11.28515625" style="15" customWidth="1"/>
    <col min="6150" max="6400" width="9.140625" style="15"/>
    <col min="6401" max="6401" width="48.85546875" style="15" customWidth="1"/>
    <col min="6402" max="6402" width="11" style="15" bestFit="1" customWidth="1"/>
    <col min="6403" max="6403" width="11.140625" style="15" bestFit="1" customWidth="1"/>
    <col min="6404" max="6404" width="9.140625" style="15"/>
    <col min="6405" max="6405" width="11.28515625" style="15" customWidth="1"/>
    <col min="6406" max="6656" width="9.140625" style="15"/>
    <col min="6657" max="6657" width="48.85546875" style="15" customWidth="1"/>
    <col min="6658" max="6658" width="11" style="15" bestFit="1" customWidth="1"/>
    <col min="6659" max="6659" width="11.140625" style="15" bestFit="1" customWidth="1"/>
    <col min="6660" max="6660" width="9.140625" style="15"/>
    <col min="6661" max="6661" width="11.28515625" style="15" customWidth="1"/>
    <col min="6662" max="6912" width="9.140625" style="15"/>
    <col min="6913" max="6913" width="48.85546875" style="15" customWidth="1"/>
    <col min="6914" max="6914" width="11" style="15" bestFit="1" customWidth="1"/>
    <col min="6915" max="6915" width="11.140625" style="15" bestFit="1" customWidth="1"/>
    <col min="6916" max="6916" width="9.140625" style="15"/>
    <col min="6917" max="6917" width="11.28515625" style="15" customWidth="1"/>
    <col min="6918" max="7168" width="9.140625" style="15"/>
    <col min="7169" max="7169" width="48.85546875" style="15" customWidth="1"/>
    <col min="7170" max="7170" width="11" style="15" bestFit="1" customWidth="1"/>
    <col min="7171" max="7171" width="11.140625" style="15" bestFit="1" customWidth="1"/>
    <col min="7172" max="7172" width="9.140625" style="15"/>
    <col min="7173" max="7173" width="11.28515625" style="15" customWidth="1"/>
    <col min="7174" max="7424" width="9.140625" style="15"/>
    <col min="7425" max="7425" width="48.85546875" style="15" customWidth="1"/>
    <col min="7426" max="7426" width="11" style="15" bestFit="1" customWidth="1"/>
    <col min="7427" max="7427" width="11.140625" style="15" bestFit="1" customWidth="1"/>
    <col min="7428" max="7428" width="9.140625" style="15"/>
    <col min="7429" max="7429" width="11.28515625" style="15" customWidth="1"/>
    <col min="7430" max="7680" width="9.140625" style="15"/>
    <col min="7681" max="7681" width="48.85546875" style="15" customWidth="1"/>
    <col min="7682" max="7682" width="11" style="15" bestFit="1" customWidth="1"/>
    <col min="7683" max="7683" width="11.140625" style="15" bestFit="1" customWidth="1"/>
    <col min="7684" max="7684" width="9.140625" style="15"/>
    <col min="7685" max="7685" width="11.28515625" style="15" customWidth="1"/>
    <col min="7686" max="7936" width="9.140625" style="15"/>
    <col min="7937" max="7937" width="48.85546875" style="15" customWidth="1"/>
    <col min="7938" max="7938" width="11" style="15" bestFit="1" customWidth="1"/>
    <col min="7939" max="7939" width="11.140625" style="15" bestFit="1" customWidth="1"/>
    <col min="7940" max="7940" width="9.140625" style="15"/>
    <col min="7941" max="7941" width="11.28515625" style="15" customWidth="1"/>
    <col min="7942" max="8192" width="9.140625" style="15"/>
    <col min="8193" max="8193" width="48.85546875" style="15" customWidth="1"/>
    <col min="8194" max="8194" width="11" style="15" bestFit="1" customWidth="1"/>
    <col min="8195" max="8195" width="11.140625" style="15" bestFit="1" customWidth="1"/>
    <col min="8196" max="8196" width="9.140625" style="15"/>
    <col min="8197" max="8197" width="11.28515625" style="15" customWidth="1"/>
    <col min="8198" max="8448" width="9.140625" style="15"/>
    <col min="8449" max="8449" width="48.85546875" style="15" customWidth="1"/>
    <col min="8450" max="8450" width="11" style="15" bestFit="1" customWidth="1"/>
    <col min="8451" max="8451" width="11.140625" style="15" bestFit="1" customWidth="1"/>
    <col min="8452" max="8452" width="9.140625" style="15"/>
    <col min="8453" max="8453" width="11.28515625" style="15" customWidth="1"/>
    <col min="8454" max="8704" width="9.140625" style="15"/>
    <col min="8705" max="8705" width="48.85546875" style="15" customWidth="1"/>
    <col min="8706" max="8706" width="11" style="15" bestFit="1" customWidth="1"/>
    <col min="8707" max="8707" width="11.140625" style="15" bestFit="1" customWidth="1"/>
    <col min="8708" max="8708" width="9.140625" style="15"/>
    <col min="8709" max="8709" width="11.28515625" style="15" customWidth="1"/>
    <col min="8710" max="8960" width="9.140625" style="15"/>
    <col min="8961" max="8961" width="48.85546875" style="15" customWidth="1"/>
    <col min="8962" max="8962" width="11" style="15" bestFit="1" customWidth="1"/>
    <col min="8963" max="8963" width="11.140625" style="15" bestFit="1" customWidth="1"/>
    <col min="8964" max="8964" width="9.140625" style="15"/>
    <col min="8965" max="8965" width="11.28515625" style="15" customWidth="1"/>
    <col min="8966" max="9216" width="9.140625" style="15"/>
    <col min="9217" max="9217" width="48.85546875" style="15" customWidth="1"/>
    <col min="9218" max="9218" width="11" style="15" bestFit="1" customWidth="1"/>
    <col min="9219" max="9219" width="11.140625" style="15" bestFit="1" customWidth="1"/>
    <col min="9220" max="9220" width="9.140625" style="15"/>
    <col min="9221" max="9221" width="11.28515625" style="15" customWidth="1"/>
    <col min="9222" max="9472" width="9.140625" style="15"/>
    <col min="9473" max="9473" width="48.85546875" style="15" customWidth="1"/>
    <col min="9474" max="9474" width="11" style="15" bestFit="1" customWidth="1"/>
    <col min="9475" max="9475" width="11.140625" style="15" bestFit="1" customWidth="1"/>
    <col min="9476" max="9476" width="9.140625" style="15"/>
    <col min="9477" max="9477" width="11.28515625" style="15" customWidth="1"/>
    <col min="9478" max="9728" width="9.140625" style="15"/>
    <col min="9729" max="9729" width="48.85546875" style="15" customWidth="1"/>
    <col min="9730" max="9730" width="11" style="15" bestFit="1" customWidth="1"/>
    <col min="9731" max="9731" width="11.140625" style="15" bestFit="1" customWidth="1"/>
    <col min="9732" max="9732" width="9.140625" style="15"/>
    <col min="9733" max="9733" width="11.28515625" style="15" customWidth="1"/>
    <col min="9734" max="9984" width="9.140625" style="15"/>
    <col min="9985" max="9985" width="48.85546875" style="15" customWidth="1"/>
    <col min="9986" max="9986" width="11" style="15" bestFit="1" customWidth="1"/>
    <col min="9987" max="9987" width="11.140625" style="15" bestFit="1" customWidth="1"/>
    <col min="9988" max="9988" width="9.140625" style="15"/>
    <col min="9989" max="9989" width="11.28515625" style="15" customWidth="1"/>
    <col min="9990" max="10240" width="9.140625" style="15"/>
    <col min="10241" max="10241" width="48.85546875" style="15" customWidth="1"/>
    <col min="10242" max="10242" width="11" style="15" bestFit="1" customWidth="1"/>
    <col min="10243" max="10243" width="11.140625" style="15" bestFit="1" customWidth="1"/>
    <col min="10244" max="10244" width="9.140625" style="15"/>
    <col min="10245" max="10245" width="11.28515625" style="15" customWidth="1"/>
    <col min="10246" max="10496" width="9.140625" style="15"/>
    <col min="10497" max="10497" width="48.85546875" style="15" customWidth="1"/>
    <col min="10498" max="10498" width="11" style="15" bestFit="1" customWidth="1"/>
    <col min="10499" max="10499" width="11.140625" style="15" bestFit="1" customWidth="1"/>
    <col min="10500" max="10500" width="9.140625" style="15"/>
    <col min="10501" max="10501" width="11.28515625" style="15" customWidth="1"/>
    <col min="10502" max="10752" width="9.140625" style="15"/>
    <col min="10753" max="10753" width="48.85546875" style="15" customWidth="1"/>
    <col min="10754" max="10754" width="11" style="15" bestFit="1" customWidth="1"/>
    <col min="10755" max="10755" width="11.140625" style="15" bestFit="1" customWidth="1"/>
    <col min="10756" max="10756" width="9.140625" style="15"/>
    <col min="10757" max="10757" width="11.28515625" style="15" customWidth="1"/>
    <col min="10758" max="11008" width="9.140625" style="15"/>
    <col min="11009" max="11009" width="48.85546875" style="15" customWidth="1"/>
    <col min="11010" max="11010" width="11" style="15" bestFit="1" customWidth="1"/>
    <col min="11011" max="11011" width="11.140625" style="15" bestFit="1" customWidth="1"/>
    <col min="11012" max="11012" width="9.140625" style="15"/>
    <col min="11013" max="11013" width="11.28515625" style="15" customWidth="1"/>
    <col min="11014" max="11264" width="9.140625" style="15"/>
    <col min="11265" max="11265" width="48.85546875" style="15" customWidth="1"/>
    <col min="11266" max="11266" width="11" style="15" bestFit="1" customWidth="1"/>
    <col min="11267" max="11267" width="11.140625" style="15" bestFit="1" customWidth="1"/>
    <col min="11268" max="11268" width="9.140625" style="15"/>
    <col min="11269" max="11269" width="11.28515625" style="15" customWidth="1"/>
    <col min="11270" max="11520" width="9.140625" style="15"/>
    <col min="11521" max="11521" width="48.85546875" style="15" customWidth="1"/>
    <col min="11522" max="11522" width="11" style="15" bestFit="1" customWidth="1"/>
    <col min="11523" max="11523" width="11.140625" style="15" bestFit="1" customWidth="1"/>
    <col min="11524" max="11524" width="9.140625" style="15"/>
    <col min="11525" max="11525" width="11.28515625" style="15" customWidth="1"/>
    <col min="11526" max="11776" width="9.140625" style="15"/>
    <col min="11777" max="11777" width="48.85546875" style="15" customWidth="1"/>
    <col min="11778" max="11778" width="11" style="15" bestFit="1" customWidth="1"/>
    <col min="11779" max="11779" width="11.140625" style="15" bestFit="1" customWidth="1"/>
    <col min="11780" max="11780" width="9.140625" style="15"/>
    <col min="11781" max="11781" width="11.28515625" style="15" customWidth="1"/>
    <col min="11782" max="12032" width="9.140625" style="15"/>
    <col min="12033" max="12033" width="48.85546875" style="15" customWidth="1"/>
    <col min="12034" max="12034" width="11" style="15" bestFit="1" customWidth="1"/>
    <col min="12035" max="12035" width="11.140625" style="15" bestFit="1" customWidth="1"/>
    <col min="12036" max="12036" width="9.140625" style="15"/>
    <col min="12037" max="12037" width="11.28515625" style="15" customWidth="1"/>
    <col min="12038" max="12288" width="9.140625" style="15"/>
    <col min="12289" max="12289" width="48.85546875" style="15" customWidth="1"/>
    <col min="12290" max="12290" width="11" style="15" bestFit="1" customWidth="1"/>
    <col min="12291" max="12291" width="11.140625" style="15" bestFit="1" customWidth="1"/>
    <col min="12292" max="12292" width="9.140625" style="15"/>
    <col min="12293" max="12293" width="11.28515625" style="15" customWidth="1"/>
    <col min="12294" max="12544" width="9.140625" style="15"/>
    <col min="12545" max="12545" width="48.85546875" style="15" customWidth="1"/>
    <col min="12546" max="12546" width="11" style="15" bestFit="1" customWidth="1"/>
    <col min="12547" max="12547" width="11.140625" style="15" bestFit="1" customWidth="1"/>
    <col min="12548" max="12548" width="9.140625" style="15"/>
    <col min="12549" max="12549" width="11.28515625" style="15" customWidth="1"/>
    <col min="12550" max="12800" width="9.140625" style="15"/>
    <col min="12801" max="12801" width="48.85546875" style="15" customWidth="1"/>
    <col min="12802" max="12802" width="11" style="15" bestFit="1" customWidth="1"/>
    <col min="12803" max="12803" width="11.140625" style="15" bestFit="1" customWidth="1"/>
    <col min="12804" max="12804" width="9.140625" style="15"/>
    <col min="12805" max="12805" width="11.28515625" style="15" customWidth="1"/>
    <col min="12806" max="13056" width="9.140625" style="15"/>
    <col min="13057" max="13057" width="48.85546875" style="15" customWidth="1"/>
    <col min="13058" max="13058" width="11" style="15" bestFit="1" customWidth="1"/>
    <col min="13059" max="13059" width="11.140625" style="15" bestFit="1" customWidth="1"/>
    <col min="13060" max="13060" width="9.140625" style="15"/>
    <col min="13061" max="13061" width="11.28515625" style="15" customWidth="1"/>
    <col min="13062" max="13312" width="9.140625" style="15"/>
    <col min="13313" max="13313" width="48.85546875" style="15" customWidth="1"/>
    <col min="13314" max="13314" width="11" style="15" bestFit="1" customWidth="1"/>
    <col min="13315" max="13315" width="11.140625" style="15" bestFit="1" customWidth="1"/>
    <col min="13316" max="13316" width="9.140625" style="15"/>
    <col min="13317" max="13317" width="11.28515625" style="15" customWidth="1"/>
    <col min="13318" max="13568" width="9.140625" style="15"/>
    <col min="13569" max="13569" width="48.85546875" style="15" customWidth="1"/>
    <col min="13570" max="13570" width="11" style="15" bestFit="1" customWidth="1"/>
    <col min="13571" max="13571" width="11.140625" style="15" bestFit="1" customWidth="1"/>
    <col min="13572" max="13572" width="9.140625" style="15"/>
    <col min="13573" max="13573" width="11.28515625" style="15" customWidth="1"/>
    <col min="13574" max="13824" width="9.140625" style="15"/>
    <col min="13825" max="13825" width="48.85546875" style="15" customWidth="1"/>
    <col min="13826" max="13826" width="11" style="15" bestFit="1" customWidth="1"/>
    <col min="13827" max="13827" width="11.140625" style="15" bestFit="1" customWidth="1"/>
    <col min="13828" max="13828" width="9.140625" style="15"/>
    <col min="13829" max="13829" width="11.28515625" style="15" customWidth="1"/>
    <col min="13830" max="14080" width="9.140625" style="15"/>
    <col min="14081" max="14081" width="48.85546875" style="15" customWidth="1"/>
    <col min="14082" max="14082" width="11" style="15" bestFit="1" customWidth="1"/>
    <col min="14083" max="14083" width="11.140625" style="15" bestFit="1" customWidth="1"/>
    <col min="14084" max="14084" width="9.140625" style="15"/>
    <col min="14085" max="14085" width="11.28515625" style="15" customWidth="1"/>
    <col min="14086" max="14336" width="9.140625" style="15"/>
    <col min="14337" max="14337" width="48.85546875" style="15" customWidth="1"/>
    <col min="14338" max="14338" width="11" style="15" bestFit="1" customWidth="1"/>
    <col min="14339" max="14339" width="11.140625" style="15" bestFit="1" customWidth="1"/>
    <col min="14340" max="14340" width="9.140625" style="15"/>
    <col min="14341" max="14341" width="11.28515625" style="15" customWidth="1"/>
    <col min="14342" max="14592" width="9.140625" style="15"/>
    <col min="14593" max="14593" width="48.85546875" style="15" customWidth="1"/>
    <col min="14594" max="14594" width="11" style="15" bestFit="1" customWidth="1"/>
    <col min="14595" max="14595" width="11.140625" style="15" bestFit="1" customWidth="1"/>
    <col min="14596" max="14596" width="9.140625" style="15"/>
    <col min="14597" max="14597" width="11.28515625" style="15" customWidth="1"/>
    <col min="14598" max="14848" width="9.140625" style="15"/>
    <col min="14849" max="14849" width="48.85546875" style="15" customWidth="1"/>
    <col min="14850" max="14850" width="11" style="15" bestFit="1" customWidth="1"/>
    <col min="14851" max="14851" width="11.140625" style="15" bestFit="1" customWidth="1"/>
    <col min="14852" max="14852" width="9.140625" style="15"/>
    <col min="14853" max="14853" width="11.28515625" style="15" customWidth="1"/>
    <col min="14854" max="15104" width="9.140625" style="15"/>
    <col min="15105" max="15105" width="48.85546875" style="15" customWidth="1"/>
    <col min="15106" max="15106" width="11" style="15" bestFit="1" customWidth="1"/>
    <col min="15107" max="15107" width="11.140625" style="15" bestFit="1" customWidth="1"/>
    <col min="15108" max="15108" width="9.140625" style="15"/>
    <col min="15109" max="15109" width="11.28515625" style="15" customWidth="1"/>
    <col min="15110" max="15360" width="9.140625" style="15"/>
    <col min="15361" max="15361" width="48.85546875" style="15" customWidth="1"/>
    <col min="15362" max="15362" width="11" style="15" bestFit="1" customWidth="1"/>
    <col min="15363" max="15363" width="11.140625" style="15" bestFit="1" customWidth="1"/>
    <col min="15364" max="15364" width="9.140625" style="15"/>
    <col min="15365" max="15365" width="11.28515625" style="15" customWidth="1"/>
    <col min="15366" max="15616" width="9.140625" style="15"/>
    <col min="15617" max="15617" width="48.85546875" style="15" customWidth="1"/>
    <col min="15618" max="15618" width="11" style="15" bestFit="1" customWidth="1"/>
    <col min="15619" max="15619" width="11.140625" style="15" bestFit="1" customWidth="1"/>
    <col min="15620" max="15620" width="9.140625" style="15"/>
    <col min="15621" max="15621" width="11.28515625" style="15" customWidth="1"/>
    <col min="15622" max="15872" width="9.140625" style="15"/>
    <col min="15873" max="15873" width="48.85546875" style="15" customWidth="1"/>
    <col min="15874" max="15874" width="11" style="15" bestFit="1" customWidth="1"/>
    <col min="15875" max="15875" width="11.140625" style="15" bestFit="1" customWidth="1"/>
    <col min="15876" max="15876" width="9.140625" style="15"/>
    <col min="15877" max="15877" width="11.28515625" style="15" customWidth="1"/>
    <col min="15878" max="16128" width="9.140625" style="15"/>
    <col min="16129" max="16129" width="48.85546875" style="15" customWidth="1"/>
    <col min="16130" max="16130" width="11" style="15" bestFit="1" customWidth="1"/>
    <col min="16131" max="16131" width="11.140625" style="15" bestFit="1" customWidth="1"/>
    <col min="16132" max="16132" width="9.140625" style="15"/>
    <col min="16133" max="16133" width="11.28515625" style="15" customWidth="1"/>
    <col min="16134" max="16384" width="9.140625" style="15"/>
  </cols>
  <sheetData>
    <row r="1" spans="1:5" x14ac:dyDescent="0.25">
      <c r="A1" s="396" t="s">
        <v>184</v>
      </c>
      <c r="B1" s="409">
        <f>'DRE 2013'!F45</f>
        <v>16533.854988208113</v>
      </c>
    </row>
    <row r="2" spans="1:5" x14ac:dyDescent="0.25">
      <c r="A2" s="397" t="s">
        <v>570</v>
      </c>
      <c r="B2" s="429"/>
    </row>
    <row r="3" spans="1:5" x14ac:dyDescent="0.25">
      <c r="A3" s="398" t="s">
        <v>571</v>
      </c>
      <c r="B3" s="409">
        <f>'FC PT 2 '!B26</f>
        <v>20433.333333333336</v>
      </c>
    </row>
    <row r="4" spans="1:5" x14ac:dyDescent="0.25">
      <c r="A4" s="399" t="s">
        <v>572</v>
      </c>
      <c r="B4" s="409">
        <v>300</v>
      </c>
      <c r="C4" s="20"/>
    </row>
    <row r="5" spans="1:5" x14ac:dyDescent="0.25">
      <c r="A5" s="399" t="s">
        <v>573</v>
      </c>
      <c r="B5" s="430">
        <v>300</v>
      </c>
      <c r="C5" s="20"/>
      <c r="D5" s="78"/>
      <c r="E5" s="78"/>
    </row>
    <row r="6" spans="1:5" x14ac:dyDescent="0.25">
      <c r="A6" s="399" t="s">
        <v>574</v>
      </c>
      <c r="B6" s="431">
        <v>-2000</v>
      </c>
      <c r="C6" s="20"/>
      <c r="D6" s="78"/>
      <c r="E6" s="78"/>
    </row>
    <row r="7" spans="1:5" x14ac:dyDescent="0.25">
      <c r="A7" s="398" t="s">
        <v>575</v>
      </c>
      <c r="B7" s="431">
        <f>-'FC PT 2 '!C13</f>
        <v>-224</v>
      </c>
      <c r="C7" s="20"/>
      <c r="D7" s="78"/>
      <c r="E7" s="78"/>
    </row>
    <row r="8" spans="1:5" x14ac:dyDescent="0.25">
      <c r="A8" s="398" t="s">
        <v>576</v>
      </c>
      <c r="B8" s="431">
        <f>'FC PT 2 '!B8</f>
        <v>4115</v>
      </c>
      <c r="D8" s="78"/>
      <c r="E8" s="78"/>
    </row>
    <row r="9" spans="1:5" x14ac:dyDescent="0.25">
      <c r="A9" s="398" t="s">
        <v>620</v>
      </c>
      <c r="B9" s="431">
        <f>'FC PT 2 '!B11</f>
        <v>638</v>
      </c>
      <c r="D9" s="78"/>
      <c r="E9" s="78"/>
    </row>
    <row r="10" spans="1:5" x14ac:dyDescent="0.25">
      <c r="A10" s="396" t="s">
        <v>577</v>
      </c>
      <c r="B10" s="432">
        <f>SUM(B1:B9)</f>
        <v>40096.188321541449</v>
      </c>
    </row>
    <row r="11" spans="1:5" x14ac:dyDescent="0.25">
      <c r="A11" s="397" t="s">
        <v>578</v>
      </c>
      <c r="B11" s="429"/>
    </row>
    <row r="12" spans="1:5" x14ac:dyDescent="0.25">
      <c r="A12" s="398" t="s">
        <v>579</v>
      </c>
      <c r="B12" s="409">
        <f>-'FC PT 2 '!C3</f>
        <v>-2110.75</v>
      </c>
    </row>
    <row r="13" spans="1:5" x14ac:dyDescent="0.25">
      <c r="A13" s="399" t="s">
        <v>580</v>
      </c>
      <c r="B13" s="409">
        <f>-'FC PT 2 '!C4-300</f>
        <v>-1630</v>
      </c>
      <c r="C13" s="20"/>
    </row>
    <row r="14" spans="1:5" x14ac:dyDescent="0.25">
      <c r="A14" s="399" t="s">
        <v>581</v>
      </c>
      <c r="B14" s="409">
        <f>-'FC PT 2 '!C6+1700</f>
        <v>-5500</v>
      </c>
      <c r="D14" s="208"/>
    </row>
    <row r="15" spans="1:5" x14ac:dyDescent="0.25">
      <c r="A15" s="398" t="s">
        <v>582</v>
      </c>
      <c r="B15" s="409">
        <f>-'FC PT 2 '!C7</f>
        <v>-11250</v>
      </c>
      <c r="E15" s="208"/>
    </row>
    <row r="16" spans="1:5" x14ac:dyDescent="0.25">
      <c r="A16" s="398" t="s">
        <v>583</v>
      </c>
      <c r="B16" s="409">
        <f>'FC PT 2 '!B9</f>
        <v>1200</v>
      </c>
      <c r="E16" s="208"/>
    </row>
    <row r="17" spans="1:5" x14ac:dyDescent="0.25">
      <c r="A17" s="398" t="s">
        <v>584</v>
      </c>
      <c r="B17" s="409">
        <f>-'FC PT 2 '!C10</f>
        <v>-32500</v>
      </c>
      <c r="E17" s="208"/>
    </row>
    <row r="18" spans="1:5" x14ac:dyDescent="0.25">
      <c r="A18" s="398" t="s">
        <v>585</v>
      </c>
      <c r="B18" s="409">
        <f>'FC PT 2 '!B12</f>
        <v>3900</v>
      </c>
      <c r="E18" s="208"/>
    </row>
    <row r="19" spans="1:5" x14ac:dyDescent="0.25">
      <c r="A19" s="398" t="s">
        <v>586</v>
      </c>
      <c r="B19" s="409">
        <f>'FC PT 2 '!B14</f>
        <v>1539</v>
      </c>
      <c r="E19" s="208"/>
    </row>
    <row r="20" spans="1:5" x14ac:dyDescent="0.25">
      <c r="A20" s="398" t="s">
        <v>587</v>
      </c>
      <c r="B20" s="409">
        <f>-'FC PT 2 '!C16</f>
        <v>-5393.4964729817366</v>
      </c>
    </row>
    <row r="21" spans="1:5" x14ac:dyDescent="0.25">
      <c r="A21" s="398" t="s">
        <v>588</v>
      </c>
      <c r="B21" s="409">
        <f>-'FC PT 2 '!C15</f>
        <v>-1941.4967302734249</v>
      </c>
    </row>
    <row r="22" spans="1:5" x14ac:dyDescent="0.25">
      <c r="A22" s="400" t="s">
        <v>589</v>
      </c>
      <c r="B22" s="432">
        <f>SUM(B10:B21)</f>
        <v>-13590.554881713713</v>
      </c>
    </row>
    <row r="23" spans="1:5" x14ac:dyDescent="0.25">
      <c r="A23" s="398" t="s">
        <v>621</v>
      </c>
      <c r="B23" s="409">
        <f>-'FC PT 2 '!C30+1000</f>
        <v>-7500</v>
      </c>
    </row>
    <row r="24" spans="1:5" x14ac:dyDescent="0.25">
      <c r="A24" s="398" t="s">
        <v>591</v>
      </c>
      <c r="B24" s="409">
        <f>-'FC PT 2 '!C29</f>
        <v>-8500</v>
      </c>
    </row>
    <row r="25" spans="1:5" x14ac:dyDescent="0.25">
      <c r="A25" s="400" t="s">
        <v>593</v>
      </c>
      <c r="B25" s="433">
        <f>SUM(B23:B24)</f>
        <v>-16000</v>
      </c>
    </row>
    <row r="26" spans="1:5" x14ac:dyDescent="0.25">
      <c r="A26" s="398" t="s">
        <v>622</v>
      </c>
      <c r="B26" s="409">
        <f>-'FC PT 2 '!C34</f>
        <v>-17540</v>
      </c>
    </row>
    <row r="27" spans="1:5" x14ac:dyDescent="0.25">
      <c r="A27" s="400" t="s">
        <v>596</v>
      </c>
      <c r="B27" s="432">
        <f>SUM(B26:B26)</f>
        <v>-17540</v>
      </c>
    </row>
    <row r="28" spans="1:5" s="370" customFormat="1" x14ac:dyDescent="0.25">
      <c r="A28" s="400" t="s">
        <v>597</v>
      </c>
      <c r="B28" s="432">
        <f>B22+B25+B27</f>
        <v>-47130.554881713717</v>
      </c>
      <c r="C28" s="428"/>
      <c r="D28" s="15"/>
      <c r="E28" s="1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showGridLines="0" zoomScale="120" zoomScaleNormal="120" workbookViewId="0">
      <selection activeCell="F12" sqref="F12"/>
    </sheetView>
  </sheetViews>
  <sheetFormatPr defaultColWidth="8.85546875" defaultRowHeight="15" x14ac:dyDescent="0.25"/>
  <cols>
    <col min="1" max="1" width="4.5703125" style="15" customWidth="1"/>
    <col min="2" max="2" width="13" style="15" customWidth="1"/>
    <col min="3" max="3" width="16.42578125" style="20" customWidth="1"/>
    <col min="4" max="4" width="12.140625" style="20" bestFit="1" customWidth="1"/>
    <col min="5" max="5" width="12.140625" style="15" bestFit="1" customWidth="1"/>
    <col min="6" max="6" width="12.42578125" style="20" bestFit="1" customWidth="1"/>
    <col min="7" max="7" width="12.140625" style="20" bestFit="1" customWidth="1"/>
    <col min="8" max="8" width="14.85546875" style="15" customWidth="1"/>
    <col min="9" max="9" width="12.28515625" style="20" bestFit="1" customWidth="1"/>
    <col min="10" max="10" width="12.140625" style="20" bestFit="1" customWidth="1"/>
    <col min="11" max="16384" width="8.85546875" style="15"/>
  </cols>
  <sheetData>
    <row r="2" spans="1:10" x14ac:dyDescent="0.25">
      <c r="B2" s="449" t="s">
        <v>141</v>
      </c>
      <c r="C2" s="449"/>
      <c r="D2" s="449"/>
      <c r="E2" s="449" t="s">
        <v>140</v>
      </c>
      <c r="F2" s="449"/>
      <c r="G2" s="449"/>
      <c r="H2" s="449" t="s">
        <v>139</v>
      </c>
      <c r="I2" s="449"/>
      <c r="J2" s="449"/>
    </row>
    <row r="3" spans="1:10" x14ac:dyDescent="0.25">
      <c r="B3" s="48" t="s">
        <v>138</v>
      </c>
      <c r="C3" s="7" t="s">
        <v>137</v>
      </c>
      <c r="D3" s="7" t="s">
        <v>136</v>
      </c>
      <c r="E3" s="48" t="s">
        <v>138</v>
      </c>
      <c r="F3" s="7" t="s">
        <v>137</v>
      </c>
      <c r="G3" s="7" t="s">
        <v>136</v>
      </c>
      <c r="H3" s="48" t="s">
        <v>138</v>
      </c>
      <c r="I3" s="7" t="s">
        <v>137</v>
      </c>
      <c r="J3" s="7" t="s">
        <v>136</v>
      </c>
    </row>
    <row r="4" spans="1:10" x14ac:dyDescent="0.25">
      <c r="A4" s="46"/>
      <c r="B4" s="21">
        <v>500</v>
      </c>
      <c r="C4" s="4">
        <v>8.3000000000000007</v>
      </c>
      <c r="D4" s="4">
        <v>4150</v>
      </c>
      <c r="E4" s="21"/>
      <c r="F4" s="4"/>
      <c r="G4" s="4"/>
      <c r="H4" s="21">
        <v>500</v>
      </c>
      <c r="I4" s="4">
        <v>8.3000000000000007</v>
      </c>
      <c r="J4" s="4">
        <v>4150</v>
      </c>
    </row>
    <row r="5" spans="1:10" x14ac:dyDescent="0.25">
      <c r="A5" s="46"/>
      <c r="B5" s="3"/>
      <c r="C5" s="4"/>
      <c r="D5" s="4"/>
      <c r="E5" s="21">
        <v>400</v>
      </c>
      <c r="F5" s="4">
        <v>8.3000000000000007</v>
      </c>
      <c r="G5" s="4">
        <v>3320.0000000000005</v>
      </c>
      <c r="H5" s="21">
        <v>100</v>
      </c>
      <c r="I5" s="4">
        <v>8.3000000000000007</v>
      </c>
      <c r="J5" s="4">
        <v>830.00000000000011</v>
      </c>
    </row>
    <row r="6" spans="1:10" x14ac:dyDescent="0.25">
      <c r="A6" s="46"/>
      <c r="B6" s="21">
        <v>500</v>
      </c>
      <c r="C6" s="4">
        <v>10.79</v>
      </c>
      <c r="D6" s="4">
        <v>5395</v>
      </c>
      <c r="E6" s="21"/>
      <c r="F6" s="4"/>
      <c r="G6" s="4"/>
      <c r="H6" s="21">
        <v>600</v>
      </c>
      <c r="I6" s="47">
        <v>10.375</v>
      </c>
      <c r="J6" s="4">
        <v>6225</v>
      </c>
    </row>
    <row r="7" spans="1:10" x14ac:dyDescent="0.25">
      <c r="A7" s="46"/>
      <c r="B7" s="21"/>
      <c r="C7" s="4"/>
      <c r="D7" s="4"/>
      <c r="E7" s="21">
        <v>300</v>
      </c>
      <c r="F7" s="4">
        <v>10.375</v>
      </c>
      <c r="G7" s="4">
        <v>3112.5</v>
      </c>
      <c r="H7" s="21">
        <v>300</v>
      </c>
      <c r="I7" s="4">
        <v>10.375</v>
      </c>
      <c r="J7" s="4">
        <v>3112.5</v>
      </c>
    </row>
    <row r="8" spans="1:10" x14ac:dyDescent="0.25">
      <c r="A8" s="46"/>
      <c r="B8" s="350" t="s">
        <v>516</v>
      </c>
      <c r="C8" s="351"/>
      <c r="D8" s="351"/>
      <c r="E8" s="350">
        <v>250</v>
      </c>
      <c r="F8" s="351">
        <v>10.375</v>
      </c>
      <c r="G8" s="351">
        <v>2593.75</v>
      </c>
      <c r="H8" s="350">
        <v>50</v>
      </c>
      <c r="I8" s="351">
        <v>10.375</v>
      </c>
      <c r="J8" s="351">
        <v>518.75</v>
      </c>
    </row>
    <row r="9" spans="1:10" x14ac:dyDescent="0.25">
      <c r="A9" s="46"/>
      <c r="B9" s="21">
        <v>700</v>
      </c>
      <c r="C9" s="4">
        <f>D9/B9</f>
        <v>8.8581507147955385</v>
      </c>
      <c r="D9" s="353">
        <f>E26</f>
        <v>6200.7055003568767</v>
      </c>
      <c r="E9" s="21"/>
      <c r="F9" s="4"/>
      <c r="G9" s="4"/>
      <c r="H9" s="206">
        <f>H8+B9</f>
        <v>750</v>
      </c>
      <c r="I9" s="207">
        <f>J9/H9</f>
        <v>8.9592740004758351</v>
      </c>
      <c r="J9" s="207">
        <f>J8+D9</f>
        <v>6719.4555003568767</v>
      </c>
    </row>
    <row r="10" spans="1:10" x14ac:dyDescent="0.25">
      <c r="A10" s="46"/>
      <c r="B10" s="21"/>
      <c r="C10" s="4"/>
      <c r="D10" s="4"/>
      <c r="E10" s="21">
        <v>500</v>
      </c>
      <c r="F10" s="4">
        <f>I9</f>
        <v>8.9592740004758351</v>
      </c>
      <c r="G10" s="357">
        <f>E10*F10</f>
        <v>4479.6370002379172</v>
      </c>
      <c r="H10" s="206">
        <f>H9-E10</f>
        <v>250</v>
      </c>
      <c r="I10" s="207">
        <f>J10/H10</f>
        <v>8.9592740004758387</v>
      </c>
      <c r="J10" s="207">
        <f>J9-G10</f>
        <v>2239.8185001189595</v>
      </c>
    </row>
    <row r="11" spans="1:10" x14ac:dyDescent="0.25">
      <c r="A11" s="46"/>
      <c r="B11" s="21">
        <v>300</v>
      </c>
      <c r="C11" s="4">
        <f>D11/B11</f>
        <v>8.6056533794144983</v>
      </c>
      <c r="D11" s="360">
        <f>J26</f>
        <v>2581.6960138243494</v>
      </c>
      <c r="E11" s="21"/>
      <c r="F11" s="4"/>
      <c r="G11" s="4"/>
      <c r="H11" s="206">
        <f>H10+B11</f>
        <v>550</v>
      </c>
      <c r="I11" s="207">
        <f>J11/H11</f>
        <v>8.7663900253514715</v>
      </c>
      <c r="J11" s="207">
        <f>J10+D11</f>
        <v>4821.5145139433089</v>
      </c>
    </row>
    <row r="12" spans="1:10" x14ac:dyDescent="0.25">
      <c r="A12" s="46"/>
      <c r="B12" s="45"/>
      <c r="C12" s="44"/>
      <c r="D12" s="44"/>
      <c r="E12" s="45">
        <v>250</v>
      </c>
      <c r="F12" s="44">
        <f>I11</f>
        <v>8.7663900253514715</v>
      </c>
      <c r="G12" s="44">
        <f>E12*F12</f>
        <v>2191.5975063378678</v>
      </c>
      <c r="H12" s="45">
        <f>H11-E12</f>
        <v>300</v>
      </c>
      <c r="I12" s="44">
        <f>J12/H12</f>
        <v>8.7663900253514697</v>
      </c>
      <c r="J12" s="44">
        <f>J11-G12</f>
        <v>2629.9170076054411</v>
      </c>
    </row>
    <row r="13" spans="1:10" x14ac:dyDescent="0.25">
      <c r="A13" s="46"/>
      <c r="B13" s="202"/>
      <c r="C13" s="30"/>
      <c r="D13" s="30"/>
      <c r="E13" s="202"/>
      <c r="F13" s="30"/>
      <c r="G13" s="30"/>
      <c r="H13" s="204"/>
      <c r="I13" s="205"/>
      <c r="J13" s="205"/>
    </row>
    <row r="14" spans="1:10" x14ac:dyDescent="0.25">
      <c r="A14" s="46"/>
      <c r="B14" s="202"/>
      <c r="C14" s="30"/>
      <c r="D14" s="30"/>
      <c r="E14" s="202" t="s">
        <v>522</v>
      </c>
      <c r="G14" s="30">
        <f>F12</f>
        <v>8.7663900253514715</v>
      </c>
      <c r="H14" s="204"/>
      <c r="I14" s="205"/>
      <c r="J14" s="205"/>
    </row>
    <row r="15" spans="1:10" x14ac:dyDescent="0.25">
      <c r="E15" s="15" t="s">
        <v>523</v>
      </c>
      <c r="G15" s="20">
        <v>170</v>
      </c>
    </row>
    <row r="16" spans="1:10" x14ac:dyDescent="0.25">
      <c r="E16" s="15" t="s">
        <v>524</v>
      </c>
    </row>
    <row r="18" spans="2:10" x14ac:dyDescent="0.25">
      <c r="B18" s="43" t="s">
        <v>135</v>
      </c>
      <c r="C18" s="39"/>
      <c r="D18" s="39"/>
      <c r="E18" s="42"/>
      <c r="G18" s="41" t="s">
        <v>134</v>
      </c>
      <c r="H18" s="40"/>
      <c r="I18" s="39"/>
      <c r="J18" s="38"/>
    </row>
    <row r="19" spans="2:10" x14ac:dyDescent="0.25">
      <c r="B19" s="36"/>
      <c r="C19" s="30"/>
      <c r="D19" s="30"/>
      <c r="E19" s="37"/>
      <c r="G19" s="32"/>
      <c r="H19" s="31"/>
      <c r="I19" s="30"/>
      <c r="J19" s="29"/>
    </row>
    <row r="20" spans="2:10" x14ac:dyDescent="0.25">
      <c r="B20" s="447" t="s">
        <v>301</v>
      </c>
      <c r="C20" s="448"/>
      <c r="D20" s="30"/>
      <c r="E20" s="29">
        <f>700*12</f>
        <v>8400</v>
      </c>
      <c r="G20" s="447" t="s">
        <v>301</v>
      </c>
      <c r="H20" s="448"/>
      <c r="I20" s="30"/>
      <c r="J20" s="29">
        <f>300*13</f>
        <v>3900</v>
      </c>
    </row>
    <row r="21" spans="2:10" x14ac:dyDescent="0.25">
      <c r="B21" s="203" t="s">
        <v>300</v>
      </c>
      <c r="C21" s="35"/>
      <c r="D21" s="30"/>
      <c r="E21" s="216">
        <f>E20-E22</f>
        <v>1087.2944996431233</v>
      </c>
      <c r="G21" s="203" t="s">
        <v>300</v>
      </c>
      <c r="H21" s="35"/>
      <c r="I21" s="30"/>
      <c r="J21" s="29">
        <f>J20-J22</f>
        <v>821.30398617565061</v>
      </c>
    </row>
    <row r="22" spans="2:10" x14ac:dyDescent="0.25">
      <c r="B22" s="447" t="s">
        <v>302</v>
      </c>
      <c r="C22" s="448"/>
      <c r="D22" s="30"/>
      <c r="E22" s="29">
        <f>(E20)/1.02^7</f>
        <v>7312.7055003568767</v>
      </c>
      <c r="G22" s="447" t="s">
        <v>302</v>
      </c>
      <c r="H22" s="448"/>
      <c r="I22" s="30"/>
      <c r="J22" s="29">
        <f>J20/(1.03)^8</f>
        <v>3078.6960138243494</v>
      </c>
    </row>
    <row r="23" spans="2:10" x14ac:dyDescent="0.25">
      <c r="B23" s="203" t="s">
        <v>304</v>
      </c>
      <c r="C23" s="35"/>
      <c r="D23" s="30"/>
      <c r="E23" s="29">
        <v>200</v>
      </c>
      <c r="G23" s="203" t="s">
        <v>320</v>
      </c>
      <c r="H23" s="35"/>
      <c r="I23" s="30"/>
      <c r="J23" s="29">
        <v>200</v>
      </c>
    </row>
    <row r="24" spans="2:10" x14ac:dyDescent="0.25">
      <c r="B24" s="203" t="s">
        <v>303</v>
      </c>
      <c r="C24" s="35"/>
      <c r="D24" s="30"/>
      <c r="E24" s="29">
        <v>150</v>
      </c>
      <c r="G24" s="203" t="s">
        <v>517</v>
      </c>
      <c r="H24" s="35"/>
      <c r="I24" s="30"/>
      <c r="J24" s="29"/>
    </row>
    <row r="25" spans="2:10" x14ac:dyDescent="0.25">
      <c r="B25" s="36" t="s">
        <v>133</v>
      </c>
      <c r="C25" s="30"/>
      <c r="D25" s="30"/>
      <c r="E25" s="355">
        <f>(E20+E23)*-0.17</f>
        <v>-1462</v>
      </c>
      <c r="G25" s="36" t="s">
        <v>133</v>
      </c>
      <c r="H25" s="31"/>
      <c r="I25" s="30"/>
      <c r="J25" s="24">
        <f>(J20+J23)*-0.17</f>
        <v>-697</v>
      </c>
    </row>
    <row r="26" spans="2:10" x14ac:dyDescent="0.25">
      <c r="B26" s="447" t="s">
        <v>132</v>
      </c>
      <c r="C26" s="448"/>
      <c r="D26" s="30"/>
      <c r="E26" s="352">
        <f>SUM(E22:E25)</f>
        <v>6200.7055003568767</v>
      </c>
      <c r="G26" s="32" t="s">
        <v>132</v>
      </c>
      <c r="H26" s="31"/>
      <c r="I26" s="30"/>
      <c r="J26" s="359">
        <f>SUM(J22:J25)</f>
        <v>2581.6960138243494</v>
      </c>
    </row>
    <row r="27" spans="2:10" x14ac:dyDescent="0.25">
      <c r="B27" s="34"/>
      <c r="C27" s="25"/>
      <c r="D27" s="25"/>
      <c r="E27" s="33"/>
      <c r="G27" s="27"/>
      <c r="H27" s="26"/>
      <c r="I27" s="25"/>
      <c r="J27" s="24"/>
    </row>
    <row r="28" spans="2:10" x14ac:dyDescent="0.25">
      <c r="E28" s="28"/>
      <c r="G28" s="15"/>
      <c r="I28" s="15"/>
      <c r="J28" s="15"/>
    </row>
    <row r="29" spans="2:10" x14ac:dyDescent="0.25">
      <c r="B29" s="15" t="s">
        <v>325</v>
      </c>
      <c r="E29" s="28"/>
      <c r="G29" s="15"/>
      <c r="I29" s="15"/>
      <c r="J29" s="15"/>
    </row>
    <row r="30" spans="2:10" x14ac:dyDescent="0.25">
      <c r="E30" s="28"/>
      <c r="G30" s="15"/>
      <c r="I30" s="15"/>
      <c r="J30" s="15"/>
    </row>
    <row r="31" spans="2:10" x14ac:dyDescent="0.25">
      <c r="B31" s="3" t="s">
        <v>305</v>
      </c>
      <c r="C31" s="4" t="s">
        <v>306</v>
      </c>
      <c r="D31" s="4" t="s">
        <v>307</v>
      </c>
      <c r="E31" s="3" t="s">
        <v>308</v>
      </c>
      <c r="F31" s="4" t="s">
        <v>309</v>
      </c>
      <c r="G31" s="4" t="s">
        <v>310</v>
      </c>
      <c r="H31" s="4" t="s">
        <v>311</v>
      </c>
      <c r="I31" s="4" t="s">
        <v>54</v>
      </c>
    </row>
    <row r="32" spans="2:10" x14ac:dyDescent="0.25">
      <c r="B32" s="209">
        <f>E22*0.02</f>
        <v>146.25411000713754</v>
      </c>
      <c r="C32" s="4">
        <f t="shared" ref="C32:H32" si="0">B33*0.02</f>
        <v>149.17919220728029</v>
      </c>
      <c r="D32" s="4">
        <f t="shared" si="0"/>
        <v>152.16277605142591</v>
      </c>
      <c r="E32" s="209">
        <f t="shared" si="0"/>
        <v>155.20603157245441</v>
      </c>
      <c r="F32" s="4">
        <f t="shared" si="0"/>
        <v>158.3101522039035</v>
      </c>
      <c r="G32" s="4">
        <f t="shared" si="0"/>
        <v>161.47635524798159</v>
      </c>
      <c r="H32" s="209">
        <f t="shared" si="0"/>
        <v>164.70588235294119</v>
      </c>
      <c r="I32" s="215">
        <f>SUM(B32:H32)</f>
        <v>1087.2944996431245</v>
      </c>
    </row>
    <row r="33" spans="2:10" x14ac:dyDescent="0.25">
      <c r="B33" s="209">
        <f>E22+B32</f>
        <v>7458.9596103640142</v>
      </c>
      <c r="C33" s="4">
        <f t="shared" ref="C33:H33" si="1">C32+B33</f>
        <v>7608.1388025712949</v>
      </c>
      <c r="D33" s="4">
        <f t="shared" si="1"/>
        <v>7760.3015786227206</v>
      </c>
      <c r="E33" s="209">
        <f t="shared" si="1"/>
        <v>7915.5076101951754</v>
      </c>
      <c r="F33" s="4">
        <f t="shared" si="1"/>
        <v>8073.8177623990787</v>
      </c>
      <c r="G33" s="4">
        <f t="shared" si="1"/>
        <v>8235.2941176470595</v>
      </c>
      <c r="H33" s="209">
        <f t="shared" si="1"/>
        <v>8400</v>
      </c>
      <c r="I33" s="7" t="s">
        <v>83</v>
      </c>
    </row>
    <row r="35" spans="2:10" x14ac:dyDescent="0.25">
      <c r="B35" s="15" t="s">
        <v>326</v>
      </c>
    </row>
    <row r="36" spans="2:10" x14ac:dyDescent="0.25">
      <c r="B36" s="15" t="s">
        <v>519</v>
      </c>
      <c r="C36" s="15" t="s">
        <v>520</v>
      </c>
      <c r="D36" s="15" t="s">
        <v>21</v>
      </c>
      <c r="E36" s="15" t="s">
        <v>61</v>
      </c>
      <c r="F36" s="15" t="s">
        <v>62</v>
      </c>
      <c r="G36" s="15" t="s">
        <v>22</v>
      </c>
      <c r="H36" s="15" t="s">
        <v>525</v>
      </c>
      <c r="I36" s="15" t="s">
        <v>526</v>
      </c>
    </row>
    <row r="37" spans="2:10" x14ac:dyDescent="0.25">
      <c r="B37" s="3" t="s">
        <v>305</v>
      </c>
      <c r="C37" s="4" t="s">
        <v>306</v>
      </c>
      <c r="D37" s="4" t="s">
        <v>307</v>
      </c>
      <c r="E37" s="3" t="s">
        <v>308</v>
      </c>
      <c r="F37" s="4" t="s">
        <v>309</v>
      </c>
      <c r="G37" s="4" t="s">
        <v>310</v>
      </c>
      <c r="H37" s="4" t="s">
        <v>311</v>
      </c>
      <c r="I37" s="4" t="s">
        <v>518</v>
      </c>
      <c r="J37" s="4" t="s">
        <v>54</v>
      </c>
    </row>
    <row r="38" spans="2:10" x14ac:dyDescent="0.25">
      <c r="B38" s="364">
        <f>J22*0.03</f>
        <v>92.360880414730474</v>
      </c>
      <c r="C38" s="44">
        <f t="shared" ref="C38:I38" si="2">B39*0.03</f>
        <v>95.131706827172394</v>
      </c>
      <c r="D38" s="44">
        <f t="shared" si="2"/>
        <v>97.985658031987569</v>
      </c>
      <c r="E38" s="364">
        <f t="shared" si="2"/>
        <v>100.9252277729472</v>
      </c>
      <c r="F38" s="44">
        <f t="shared" si="2"/>
        <v>103.9529846061356</v>
      </c>
      <c r="G38" s="44">
        <f t="shared" si="2"/>
        <v>107.07157414431967</v>
      </c>
      <c r="H38" s="209">
        <f t="shared" si="2"/>
        <v>110.28372136864925</v>
      </c>
      <c r="I38" s="209">
        <f t="shared" si="2"/>
        <v>113.59223300970874</v>
      </c>
      <c r="J38" s="215">
        <f>SUM(B38:I38)</f>
        <v>821.30398617565083</v>
      </c>
    </row>
    <row r="39" spans="2:10" x14ac:dyDescent="0.25">
      <c r="B39" s="209">
        <f>J22+B38</f>
        <v>3171.0568942390801</v>
      </c>
      <c r="C39" s="4">
        <f>C38+B39</f>
        <v>3266.1886010662524</v>
      </c>
      <c r="D39" s="4">
        <f>D38+C39</f>
        <v>3364.1742590982399</v>
      </c>
      <c r="E39" s="209">
        <f t="shared" ref="E39" si="3">E38+D39</f>
        <v>3465.0994868711869</v>
      </c>
      <c r="F39" s="4">
        <f t="shared" ref="F39" si="4">F38+E39</f>
        <v>3569.0524714773223</v>
      </c>
      <c r="G39" s="4">
        <f t="shared" ref="G39" si="5">G38+F39</f>
        <v>3676.1240456216419</v>
      </c>
      <c r="H39" s="209">
        <f t="shared" ref="H39:I39" si="6">H38+G39</f>
        <v>3786.4077669902913</v>
      </c>
      <c r="I39" s="209">
        <f t="shared" si="6"/>
        <v>3900</v>
      </c>
      <c r="J39" s="7" t="s">
        <v>83</v>
      </c>
    </row>
    <row r="40" spans="2:10" x14ac:dyDescent="0.25">
      <c r="B40" s="362"/>
      <c r="C40" s="30"/>
      <c r="D40" s="30"/>
      <c r="E40" s="362"/>
      <c r="F40" s="30"/>
      <c r="G40" s="30"/>
      <c r="H40" s="362"/>
      <c r="I40" s="363"/>
    </row>
    <row r="41" spans="2:10" x14ac:dyDescent="0.25">
      <c r="B41" s="3" t="s">
        <v>326</v>
      </c>
      <c r="C41" s="4" t="s">
        <v>639</v>
      </c>
    </row>
    <row r="42" spans="2:10" ht="5.25" customHeight="1" x14ac:dyDescent="0.25">
      <c r="B42" s="3"/>
      <c r="C42" s="4"/>
    </row>
    <row r="43" spans="2:10" x14ac:dyDescent="0.25">
      <c r="B43" s="3" t="s">
        <v>321</v>
      </c>
      <c r="C43" s="209">
        <f>J22*1.03^6</f>
        <v>3676.1240456216419</v>
      </c>
    </row>
    <row r="44" spans="2:10" x14ac:dyDescent="0.25">
      <c r="B44" s="3" t="s">
        <v>322</v>
      </c>
      <c r="C44" s="209">
        <f>C43-J22</f>
        <v>597.42803179729253</v>
      </c>
    </row>
  </sheetData>
  <mergeCells count="8">
    <mergeCell ref="B26:C26"/>
    <mergeCell ref="B22:C22"/>
    <mergeCell ref="G22:H22"/>
    <mergeCell ref="B2:D2"/>
    <mergeCell ref="E2:G2"/>
    <mergeCell ref="H2:J2"/>
    <mergeCell ref="B20:C20"/>
    <mergeCell ref="G20:H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86"/>
  <sheetViews>
    <sheetView topLeftCell="A22" zoomScale="85" zoomScaleNormal="85" workbookViewId="0">
      <selection activeCell="I63" sqref="I63:I66"/>
    </sheetView>
  </sheetViews>
  <sheetFormatPr defaultColWidth="9.140625" defaultRowHeight="15" x14ac:dyDescent="0.25"/>
  <cols>
    <col min="1" max="1" width="0.85546875" style="279" customWidth="1"/>
    <col min="2" max="2" width="6.5703125" style="289" bestFit="1" customWidth="1"/>
    <col min="3" max="3" width="16.7109375" style="280" customWidth="1"/>
    <col min="4" max="4" width="15.28515625" style="280" bestFit="1" customWidth="1"/>
    <col min="5" max="5" width="6" style="317" customWidth="1"/>
    <col min="6" max="6" width="0.85546875" style="279" customWidth="1"/>
    <col min="7" max="7" width="6" style="289" bestFit="1" customWidth="1"/>
    <col min="8" max="8" width="13.7109375" style="280" bestFit="1" customWidth="1"/>
    <col min="9" max="9" width="14.28515625" style="280" bestFit="1" customWidth="1"/>
    <col min="10" max="10" width="10.28515625" style="291" bestFit="1" customWidth="1"/>
    <col min="11" max="11" width="0.85546875" style="279" customWidth="1"/>
    <col min="12" max="12" width="6" style="289" bestFit="1" customWidth="1"/>
    <col min="13" max="13" width="14.28515625" style="280" bestFit="1" customWidth="1"/>
    <col min="14" max="14" width="16.28515625" style="280" bestFit="1" customWidth="1"/>
    <col min="15" max="15" width="6" style="289" bestFit="1" customWidth="1"/>
    <col min="16" max="16" width="0.85546875" style="279" customWidth="1"/>
    <col min="17" max="17" width="6" style="289" bestFit="1" customWidth="1"/>
    <col min="18" max="18" width="17.5703125" style="280" bestFit="1" customWidth="1"/>
    <col min="19" max="19" width="19" style="280" bestFit="1" customWidth="1"/>
    <col min="20" max="20" width="5.7109375" style="291" bestFit="1" customWidth="1"/>
    <col min="21" max="21" width="0.85546875" style="279" customWidth="1"/>
    <col min="22" max="22" width="6" style="289" bestFit="1" customWidth="1"/>
    <col min="23" max="23" width="20" style="280" bestFit="1" customWidth="1"/>
    <col min="24" max="24" width="15.28515625" style="280" bestFit="1" customWidth="1"/>
    <col min="25" max="25" width="5.85546875" style="280" bestFit="1" customWidth="1"/>
    <col min="26" max="26" width="0.85546875" style="279" customWidth="1"/>
    <col min="27" max="27" width="7.42578125" style="289" bestFit="1" customWidth="1"/>
    <col min="28" max="29" width="20" style="280" bestFit="1" customWidth="1"/>
    <col min="30" max="30" width="6" style="280" bestFit="1" customWidth="1"/>
    <col min="31" max="31" width="0.85546875" style="279" customWidth="1"/>
    <col min="32" max="32" width="5.140625" style="289" bestFit="1" customWidth="1"/>
    <col min="33" max="33" width="19.5703125" style="280" bestFit="1" customWidth="1"/>
    <col min="34" max="34" width="19.42578125" style="280" bestFit="1" customWidth="1"/>
    <col min="35" max="35" width="6" style="280" customWidth="1"/>
    <col min="36" max="36" width="0.85546875" style="279" customWidth="1"/>
    <col min="37" max="37" width="9.85546875" style="280" bestFit="1" customWidth="1"/>
    <col min="38" max="38" width="17.85546875" style="280" customWidth="1"/>
    <col min="39" max="39" width="17.28515625" style="280" bestFit="1" customWidth="1"/>
    <col min="40" max="40" width="9.85546875" style="280" bestFit="1" customWidth="1"/>
    <col min="41" max="41" width="0.85546875" style="279" customWidth="1"/>
    <col min="42" max="42" width="6" style="289" bestFit="1" customWidth="1"/>
    <col min="43" max="43" width="19.42578125" style="280" bestFit="1" customWidth="1"/>
    <col min="44" max="44" width="18.7109375" style="280" bestFit="1" customWidth="1"/>
    <col min="45" max="45" width="3.85546875" style="280" bestFit="1" customWidth="1"/>
    <col min="46" max="46" width="2.7109375" style="279" customWidth="1"/>
    <col min="47" max="47" width="5" style="289" bestFit="1" customWidth="1"/>
    <col min="48" max="48" width="17.7109375" style="280" bestFit="1" customWidth="1"/>
    <col min="49" max="49" width="13" style="280" bestFit="1" customWidth="1"/>
    <col min="50" max="50" width="9.85546875" style="280" bestFit="1" customWidth="1"/>
    <col min="51" max="51" width="0.85546875" style="279" customWidth="1"/>
    <col min="52" max="52" width="5.85546875" style="289" bestFit="1" customWidth="1"/>
    <col min="53" max="54" width="13" style="280" bestFit="1" customWidth="1"/>
    <col min="55" max="55" width="8.7109375" style="280" customWidth="1"/>
    <col min="56" max="56" width="1.85546875" style="280" customWidth="1"/>
    <col min="57" max="57" width="9.140625" style="280"/>
    <col min="58" max="59" width="13.7109375" style="280" bestFit="1" customWidth="1"/>
    <col min="60" max="60" width="9.140625" style="280"/>
    <col min="61" max="61" width="2" style="280" customWidth="1"/>
    <col min="62" max="62" width="9.140625" style="280"/>
    <col min="63" max="64" width="12.5703125" style="280" bestFit="1" customWidth="1"/>
    <col min="65" max="65" width="9.140625" style="280"/>
    <col min="66" max="66" width="2.140625" style="280" customWidth="1"/>
    <col min="67" max="67" width="9.140625" style="280"/>
    <col min="68" max="69" width="12.5703125" style="280" bestFit="1" customWidth="1"/>
    <col min="70" max="70" width="9.140625" style="280"/>
    <col min="71" max="71" width="3.85546875" style="280" customWidth="1"/>
    <col min="72" max="72" width="5.5703125" style="280" customWidth="1"/>
    <col min="73" max="73" width="13.28515625" style="280" customWidth="1"/>
    <col min="74" max="74" width="13" style="280" customWidth="1"/>
    <col min="75" max="75" width="9.140625" style="280"/>
    <col min="76" max="76" width="6" style="280" customWidth="1"/>
    <col min="77" max="77" width="6.7109375" style="280" customWidth="1"/>
    <col min="78" max="78" width="13.140625" style="280" customWidth="1"/>
    <col min="79" max="79" width="13.5703125" style="280" customWidth="1"/>
    <col min="80" max="80" width="9.140625" style="280"/>
    <col min="81" max="81" width="6.140625" style="280" customWidth="1"/>
    <col min="82" max="82" width="6.42578125" style="280" customWidth="1"/>
    <col min="83" max="83" width="13.7109375" style="280" customWidth="1"/>
    <col min="84" max="84" width="13.28515625" style="280" customWidth="1"/>
    <col min="85" max="85" width="9.140625" style="280"/>
    <col min="86" max="86" width="4.42578125" style="280" customWidth="1"/>
    <col min="87" max="87" width="9.140625" style="280"/>
    <col min="88" max="88" width="12.5703125" style="280" bestFit="1" customWidth="1"/>
    <col min="89" max="90" width="9.140625" style="280"/>
    <col min="91" max="91" width="5" style="280" customWidth="1"/>
    <col min="92" max="92" width="9.140625" style="280"/>
    <col min="93" max="93" width="12.5703125" style="280" bestFit="1" customWidth="1"/>
    <col min="94" max="16384" width="9.140625" style="280"/>
  </cols>
  <sheetData>
    <row r="2" spans="2:95" x14ac:dyDescent="0.25">
      <c r="B2" s="453" t="s">
        <v>142</v>
      </c>
      <c r="C2" s="451"/>
      <c r="D2" s="451"/>
      <c r="E2" s="452"/>
      <c r="G2" s="450" t="s">
        <v>420</v>
      </c>
      <c r="H2" s="451"/>
      <c r="I2" s="451"/>
      <c r="J2" s="452"/>
      <c r="L2" s="453" t="s">
        <v>143</v>
      </c>
      <c r="M2" s="451"/>
      <c r="N2" s="451"/>
      <c r="O2" s="452"/>
      <c r="Q2" s="450" t="s">
        <v>144</v>
      </c>
      <c r="R2" s="451"/>
      <c r="S2" s="451"/>
      <c r="T2" s="452"/>
      <c r="V2" s="453" t="s">
        <v>145</v>
      </c>
      <c r="W2" s="451"/>
      <c r="X2" s="451"/>
      <c r="Y2" s="452"/>
      <c r="AA2" s="450" t="s">
        <v>421</v>
      </c>
      <c r="AB2" s="451"/>
      <c r="AC2" s="451"/>
      <c r="AD2" s="452"/>
      <c r="AF2" s="453" t="s">
        <v>422</v>
      </c>
      <c r="AG2" s="451"/>
      <c r="AH2" s="451"/>
      <c r="AI2" s="452"/>
      <c r="AK2" s="450" t="s">
        <v>423</v>
      </c>
      <c r="AL2" s="451"/>
      <c r="AM2" s="451"/>
      <c r="AN2" s="452"/>
      <c r="AP2" s="450" t="s">
        <v>146</v>
      </c>
      <c r="AQ2" s="451"/>
      <c r="AR2" s="451"/>
      <c r="AS2" s="452"/>
      <c r="AU2" s="450" t="s">
        <v>424</v>
      </c>
      <c r="AV2" s="451"/>
      <c r="AW2" s="451"/>
      <c r="AX2" s="452"/>
      <c r="AZ2" s="453" t="s">
        <v>425</v>
      </c>
      <c r="BA2" s="451"/>
      <c r="BB2" s="451"/>
      <c r="BC2" s="452"/>
      <c r="BE2" s="450" t="s">
        <v>426</v>
      </c>
      <c r="BF2" s="451"/>
      <c r="BG2" s="451"/>
      <c r="BH2" s="452"/>
      <c r="BJ2" s="450" t="s">
        <v>427</v>
      </c>
      <c r="BK2" s="451"/>
      <c r="BL2" s="451"/>
      <c r="BM2" s="452"/>
      <c r="BO2" s="450" t="s">
        <v>428</v>
      </c>
      <c r="BP2" s="451"/>
      <c r="BQ2" s="451"/>
      <c r="BR2" s="452"/>
      <c r="BS2" s="281"/>
      <c r="BT2" s="450" t="s">
        <v>429</v>
      </c>
      <c r="BU2" s="451"/>
      <c r="BV2" s="451"/>
      <c r="BW2" s="452"/>
      <c r="BX2" s="281"/>
      <c r="BY2" s="450" t="s">
        <v>430</v>
      </c>
      <c r="BZ2" s="451"/>
      <c r="CA2" s="451"/>
      <c r="CB2" s="452"/>
      <c r="CC2" s="281"/>
      <c r="CD2" s="450" t="s">
        <v>431</v>
      </c>
      <c r="CE2" s="451"/>
      <c r="CF2" s="454"/>
      <c r="CG2" s="452"/>
      <c r="CI2" s="450" t="s">
        <v>432</v>
      </c>
      <c r="CJ2" s="451"/>
      <c r="CK2" s="451"/>
      <c r="CL2" s="452"/>
      <c r="CN2" s="450" t="s">
        <v>433</v>
      </c>
      <c r="CO2" s="451"/>
      <c r="CP2" s="454"/>
      <c r="CQ2" s="452"/>
    </row>
    <row r="3" spans="2:95" x14ac:dyDescent="0.25">
      <c r="B3" s="282"/>
      <c r="C3" s="283">
        <v>371425.48</v>
      </c>
      <c r="D3" s="284">
        <v>350</v>
      </c>
      <c r="E3" s="285">
        <v>1</v>
      </c>
      <c r="G3" s="282"/>
      <c r="H3" s="283">
        <v>518.75</v>
      </c>
      <c r="I3" s="280">
        <v>4480</v>
      </c>
      <c r="J3" s="286" t="s">
        <v>434</v>
      </c>
      <c r="L3" s="282"/>
      <c r="M3" s="287">
        <v>32500</v>
      </c>
      <c r="N3" s="280">
        <v>75000</v>
      </c>
      <c r="O3" s="288" t="s">
        <v>435</v>
      </c>
      <c r="R3" s="290">
        <v>120000</v>
      </c>
      <c r="W3" s="290">
        <v>50000</v>
      </c>
      <c r="X3" s="28">
        <v>19167</v>
      </c>
      <c r="Y3" s="292" t="s">
        <v>436</v>
      </c>
      <c r="AB3" s="290">
        <v>80000</v>
      </c>
      <c r="AG3" s="290">
        <v>21266.67</v>
      </c>
      <c r="AH3" s="280">
        <v>9167</v>
      </c>
      <c r="AI3" s="293" t="s">
        <v>437</v>
      </c>
      <c r="AK3" s="292" t="s">
        <v>438</v>
      </c>
      <c r="AL3" s="290">
        <v>30833</v>
      </c>
      <c r="AP3" s="282"/>
      <c r="AQ3" s="290">
        <v>10000</v>
      </c>
      <c r="AU3" s="282"/>
      <c r="AV3" s="290">
        <v>1800</v>
      </c>
      <c r="AW3" s="284">
        <v>1200</v>
      </c>
      <c r="AX3" s="294" t="s">
        <v>439</v>
      </c>
      <c r="AZ3" s="282">
        <v>1</v>
      </c>
      <c r="BA3" s="290">
        <v>1462</v>
      </c>
      <c r="BB3" s="284">
        <v>2159</v>
      </c>
      <c r="BC3" s="295" t="s">
        <v>440</v>
      </c>
      <c r="BE3" s="282" t="s">
        <v>441</v>
      </c>
      <c r="BF3" s="284">
        <v>11905</v>
      </c>
      <c r="BG3" s="284">
        <v>11905</v>
      </c>
      <c r="BH3" s="295" t="s">
        <v>442</v>
      </c>
      <c r="BJ3" s="282">
        <v>3</v>
      </c>
      <c r="BK3" s="284">
        <v>2000</v>
      </c>
      <c r="BL3" s="284">
        <v>1800</v>
      </c>
      <c r="BM3" s="295" t="s">
        <v>443</v>
      </c>
      <c r="BO3" s="282">
        <v>3</v>
      </c>
      <c r="BP3" s="284">
        <v>6500</v>
      </c>
      <c r="BQ3" s="284">
        <v>5070</v>
      </c>
      <c r="BR3" s="295" t="s">
        <v>443</v>
      </c>
      <c r="BS3" s="295"/>
      <c r="BT3" s="293" t="s">
        <v>444</v>
      </c>
      <c r="BU3" s="283">
        <v>1500</v>
      </c>
      <c r="BV3" s="284">
        <v>200</v>
      </c>
      <c r="BW3" s="295" t="s">
        <v>445</v>
      </c>
      <c r="BX3" s="295"/>
      <c r="BY3" s="293" t="s">
        <v>446</v>
      </c>
      <c r="BZ3" s="283">
        <v>2600</v>
      </c>
      <c r="CA3" s="284">
        <v>600</v>
      </c>
      <c r="CB3" s="296" t="s">
        <v>447</v>
      </c>
      <c r="CC3" s="295"/>
      <c r="CD3" s="293" t="s">
        <v>448</v>
      </c>
      <c r="CE3" s="297">
        <v>8000</v>
      </c>
      <c r="CF3" s="298">
        <v>5000</v>
      </c>
      <c r="CG3" s="293" t="s">
        <v>449</v>
      </c>
      <c r="CI3" s="293" t="s">
        <v>450</v>
      </c>
      <c r="CJ3" s="283">
        <v>7500</v>
      </c>
      <c r="CK3" s="284"/>
      <c r="CL3" s="296"/>
      <c r="CN3" s="293" t="s">
        <v>451</v>
      </c>
      <c r="CO3" s="297">
        <v>5000</v>
      </c>
      <c r="CP3" s="298"/>
      <c r="CQ3" s="293"/>
    </row>
    <row r="4" spans="2:95" x14ac:dyDescent="0.25">
      <c r="B4" s="282" t="s">
        <v>435</v>
      </c>
      <c r="C4" s="299">
        <v>75000</v>
      </c>
      <c r="D4" s="284">
        <v>8400</v>
      </c>
      <c r="E4" s="285" t="s">
        <v>452</v>
      </c>
      <c r="G4" s="282">
        <v>1</v>
      </c>
      <c r="H4" s="299">
        <v>6201</v>
      </c>
      <c r="I4" s="284">
        <v>2192</v>
      </c>
      <c r="J4" s="286" t="s">
        <v>453</v>
      </c>
      <c r="L4" s="288">
        <v>2</v>
      </c>
      <c r="M4" s="300">
        <v>75000</v>
      </c>
      <c r="N4" s="280">
        <v>32500</v>
      </c>
      <c r="O4" s="295" t="s">
        <v>454</v>
      </c>
      <c r="R4" s="300"/>
      <c r="W4" s="300"/>
      <c r="X4" s="280">
        <v>30833</v>
      </c>
      <c r="Y4" s="292" t="s">
        <v>438</v>
      </c>
      <c r="AB4" s="300"/>
      <c r="AF4" s="288" t="s">
        <v>436</v>
      </c>
      <c r="AG4" s="28">
        <v>19167</v>
      </c>
      <c r="AH4" s="301">
        <v>11267</v>
      </c>
      <c r="AI4" s="292" t="s">
        <v>455</v>
      </c>
      <c r="AL4" s="300"/>
      <c r="AQ4" s="300"/>
      <c r="AV4" s="300"/>
      <c r="AX4" s="302"/>
      <c r="AZ4" s="282">
        <v>4</v>
      </c>
      <c r="BA4" s="300">
        <v>697</v>
      </c>
      <c r="BB4" s="303"/>
      <c r="BE4" s="282" t="s">
        <v>456</v>
      </c>
      <c r="BF4" s="300">
        <v>4603</v>
      </c>
      <c r="BG4" s="304">
        <v>8718</v>
      </c>
      <c r="BH4" s="295" t="s">
        <v>457</v>
      </c>
      <c r="BJ4" s="282"/>
      <c r="BK4" s="300"/>
      <c r="BL4" s="303">
        <v>80</v>
      </c>
      <c r="BM4" s="292" t="s">
        <v>458</v>
      </c>
      <c r="BO4" s="282"/>
      <c r="BP4" s="300"/>
      <c r="BQ4" s="303">
        <v>220</v>
      </c>
      <c r="BR4" s="292" t="s">
        <v>458</v>
      </c>
      <c r="BS4" s="292"/>
      <c r="BT4" s="293" t="s">
        <v>459</v>
      </c>
      <c r="BU4" s="299">
        <v>300</v>
      </c>
      <c r="BV4" s="303">
        <v>400</v>
      </c>
      <c r="BW4" s="292" t="s">
        <v>460</v>
      </c>
      <c r="BX4" s="292"/>
      <c r="BY4" s="293"/>
      <c r="BZ4" s="300"/>
      <c r="CA4" s="280">
        <v>400</v>
      </c>
      <c r="CB4" s="305" t="s">
        <v>461</v>
      </c>
      <c r="CC4" s="292"/>
      <c r="CD4" s="293" t="s">
        <v>462</v>
      </c>
      <c r="CE4" s="303">
        <v>2000</v>
      </c>
      <c r="CF4" s="306"/>
      <c r="CG4" s="293"/>
      <c r="CI4" s="293" t="s">
        <v>463</v>
      </c>
      <c r="CJ4" s="300">
        <v>1000</v>
      </c>
      <c r="CK4" s="307"/>
      <c r="CL4" s="293"/>
      <c r="CN4" s="293" t="s">
        <v>464</v>
      </c>
      <c r="CO4" s="303">
        <v>2000</v>
      </c>
      <c r="CP4" s="306"/>
      <c r="CQ4" s="293"/>
    </row>
    <row r="5" spans="2:95" x14ac:dyDescent="0.25">
      <c r="B5" s="293" t="s">
        <v>449</v>
      </c>
      <c r="C5" s="299">
        <v>5000</v>
      </c>
      <c r="D5" s="284">
        <v>2000</v>
      </c>
      <c r="E5" s="285">
        <v>3</v>
      </c>
      <c r="G5" s="308">
        <v>4</v>
      </c>
      <c r="H5" s="299">
        <v>2582</v>
      </c>
      <c r="I5" s="303"/>
      <c r="J5" s="285"/>
      <c r="L5" s="289">
        <v>5</v>
      </c>
      <c r="M5" s="300">
        <v>43750</v>
      </c>
      <c r="R5" s="300"/>
      <c r="W5" s="300"/>
      <c r="AB5" s="300"/>
      <c r="AG5" s="300"/>
      <c r="AI5" s="292"/>
      <c r="AL5" s="300"/>
      <c r="AQ5" s="300"/>
      <c r="AV5" s="300"/>
      <c r="AX5" s="302"/>
      <c r="BA5" s="300"/>
      <c r="BB5" s="304"/>
      <c r="BE5" s="289"/>
      <c r="BF5" s="300"/>
      <c r="BJ5" s="289"/>
      <c r="BK5" s="300"/>
      <c r="BL5" s="304"/>
      <c r="BO5" s="289"/>
      <c r="BP5" s="300"/>
      <c r="BQ5" s="304"/>
      <c r="BT5" s="302"/>
      <c r="BU5" s="300"/>
      <c r="BV5" s="304"/>
      <c r="BY5" s="302"/>
      <c r="BZ5" s="300"/>
      <c r="CA5" s="307">
        <v>1600</v>
      </c>
      <c r="CB5" s="293" t="s">
        <v>465</v>
      </c>
      <c r="CD5" s="293" t="s">
        <v>466</v>
      </c>
      <c r="CE5" s="309">
        <v>200</v>
      </c>
      <c r="CF5" s="304"/>
      <c r="CI5" s="302"/>
      <c r="CJ5" s="300"/>
      <c r="CK5" s="304"/>
      <c r="CN5" s="293" t="s">
        <v>467</v>
      </c>
      <c r="CO5" s="309">
        <v>1500</v>
      </c>
      <c r="CP5" s="304"/>
    </row>
    <row r="6" spans="2:95" x14ac:dyDescent="0.25">
      <c r="B6" s="282" t="s">
        <v>465</v>
      </c>
      <c r="C6" s="309">
        <v>1600</v>
      </c>
      <c r="D6" s="284">
        <v>6500</v>
      </c>
      <c r="E6" s="285">
        <v>3</v>
      </c>
      <c r="H6" s="300"/>
      <c r="I6" s="304"/>
      <c r="M6" s="300"/>
      <c r="R6" s="300"/>
      <c r="W6" s="300"/>
      <c r="AB6" s="300"/>
      <c r="AG6" s="300"/>
      <c r="AI6" s="292"/>
      <c r="AL6" s="300"/>
      <c r="AQ6" s="300"/>
      <c r="AV6" s="300"/>
      <c r="AX6" s="302"/>
      <c r="BA6" s="300"/>
      <c r="BE6" s="289"/>
      <c r="BF6" s="300"/>
      <c r="BJ6" s="289"/>
      <c r="BK6" s="300"/>
      <c r="BO6" s="289"/>
      <c r="BP6" s="300"/>
      <c r="BT6" s="302"/>
      <c r="BU6" s="300"/>
      <c r="BY6" s="302"/>
      <c r="BZ6" s="300"/>
      <c r="CD6" s="292" t="s">
        <v>468</v>
      </c>
      <c r="CE6" s="300">
        <v>800</v>
      </c>
      <c r="CI6" s="302"/>
      <c r="CJ6" s="300"/>
      <c r="CN6" s="292"/>
      <c r="CO6" s="300"/>
    </row>
    <row r="7" spans="2:95" x14ac:dyDescent="0.25">
      <c r="C7" s="299"/>
      <c r="D7" s="284">
        <v>200</v>
      </c>
      <c r="E7" s="285">
        <v>4</v>
      </c>
      <c r="H7" s="300"/>
      <c r="M7" s="300"/>
      <c r="R7" s="300"/>
      <c r="W7" s="300"/>
      <c r="AB7" s="300"/>
      <c r="AG7" s="300"/>
      <c r="AL7" s="300"/>
      <c r="AQ7" s="300"/>
      <c r="AV7" s="300"/>
      <c r="AX7" s="302"/>
      <c r="BA7" s="300"/>
      <c r="BE7" s="289"/>
      <c r="BF7" s="300"/>
      <c r="BJ7" s="289"/>
      <c r="BK7" s="300"/>
      <c r="BO7" s="289"/>
      <c r="BP7" s="300"/>
      <c r="BT7" s="302"/>
      <c r="BU7" s="300"/>
      <c r="BY7" s="302"/>
      <c r="BZ7" s="300"/>
      <c r="CD7" s="302"/>
      <c r="CE7" s="300"/>
      <c r="CI7" s="302"/>
      <c r="CJ7" s="300"/>
      <c r="CN7" s="302"/>
      <c r="CO7" s="300"/>
    </row>
    <row r="8" spans="2:95" x14ac:dyDescent="0.25">
      <c r="C8" s="299"/>
      <c r="D8" s="284">
        <v>300</v>
      </c>
      <c r="E8" s="285" t="s">
        <v>469</v>
      </c>
      <c r="H8" s="300"/>
      <c r="M8" s="300"/>
      <c r="R8" s="300"/>
      <c r="W8" s="300"/>
      <c r="AB8" s="300"/>
      <c r="AG8" s="300"/>
      <c r="AL8" s="300"/>
      <c r="AQ8" s="300"/>
      <c r="AV8" s="300"/>
      <c r="AX8" s="302"/>
      <c r="BA8" s="300"/>
      <c r="BE8" s="289"/>
      <c r="BF8" s="300"/>
      <c r="BJ8" s="289"/>
      <c r="BK8" s="300"/>
      <c r="BO8" s="289"/>
      <c r="BP8" s="300"/>
      <c r="BT8" s="302"/>
      <c r="BU8" s="300"/>
      <c r="BY8" s="302"/>
      <c r="BZ8" s="300"/>
      <c r="CD8" s="302"/>
      <c r="CE8" s="300"/>
      <c r="CI8" s="302"/>
      <c r="CJ8" s="300"/>
      <c r="CN8" s="302"/>
      <c r="CO8" s="300"/>
    </row>
    <row r="9" spans="2:95" x14ac:dyDescent="0.25">
      <c r="C9" s="299"/>
      <c r="D9" s="28">
        <v>1500</v>
      </c>
      <c r="E9" s="310" t="s">
        <v>444</v>
      </c>
      <c r="H9" s="300"/>
      <c r="M9" s="300"/>
      <c r="R9" s="300"/>
      <c r="W9" s="300"/>
      <c r="AB9" s="300"/>
      <c r="AG9" s="300"/>
      <c r="AL9" s="300"/>
      <c r="AQ9" s="300"/>
      <c r="AV9" s="300"/>
      <c r="AX9" s="302"/>
      <c r="BA9" s="300"/>
      <c r="BC9" s="304"/>
      <c r="BE9" s="289"/>
      <c r="BF9" s="300"/>
      <c r="BH9" s="304"/>
      <c r="BJ9" s="289"/>
      <c r="BK9" s="300"/>
      <c r="BM9" s="304"/>
      <c r="BO9" s="289"/>
      <c r="BP9" s="300"/>
      <c r="BR9" s="304"/>
      <c r="BS9" s="304"/>
      <c r="BT9" s="302"/>
      <c r="BU9" s="300"/>
      <c r="BW9" s="304"/>
      <c r="BX9" s="304"/>
      <c r="BY9" s="302"/>
      <c r="BZ9" s="300"/>
      <c r="CB9" s="304"/>
      <c r="CC9" s="304"/>
      <c r="CD9" s="302"/>
      <c r="CE9" s="300"/>
      <c r="CG9" s="304"/>
      <c r="CI9" s="302"/>
      <c r="CJ9" s="300"/>
      <c r="CL9" s="304"/>
      <c r="CN9" s="302"/>
      <c r="CO9" s="300"/>
      <c r="CQ9" s="304"/>
    </row>
    <row r="10" spans="2:95" x14ac:dyDescent="0.25">
      <c r="C10" s="299"/>
      <c r="D10" s="284">
        <v>2600</v>
      </c>
      <c r="E10" s="310" t="s">
        <v>446</v>
      </c>
      <c r="H10" s="300"/>
      <c r="M10" s="300"/>
      <c r="R10" s="300"/>
      <c r="W10" s="300"/>
      <c r="AB10" s="300"/>
      <c r="AG10" s="300"/>
      <c r="AL10" s="300"/>
      <c r="AQ10" s="300"/>
      <c r="AV10" s="300"/>
      <c r="AX10" s="302"/>
      <c r="BA10" s="300"/>
      <c r="BE10" s="289"/>
      <c r="BF10" s="300"/>
      <c r="BJ10" s="289"/>
      <c r="BK10" s="300"/>
      <c r="BO10" s="289"/>
      <c r="BP10" s="300"/>
      <c r="BT10" s="302"/>
      <c r="BU10" s="300"/>
      <c r="BY10" s="302"/>
      <c r="BZ10" s="300"/>
      <c r="CD10" s="302"/>
      <c r="CE10" s="300"/>
      <c r="CI10" s="302"/>
      <c r="CJ10" s="300"/>
      <c r="CN10" s="302"/>
      <c r="CO10" s="300"/>
    </row>
    <row r="11" spans="2:95" x14ac:dyDescent="0.25">
      <c r="C11" s="300"/>
      <c r="D11" s="284">
        <v>8000</v>
      </c>
      <c r="E11" s="310" t="s">
        <v>448</v>
      </c>
      <c r="H11" s="300"/>
      <c r="M11" s="300"/>
      <c r="R11" s="300"/>
      <c r="W11" s="300"/>
      <c r="AB11" s="300"/>
      <c r="AG11" s="300"/>
      <c r="AL11" s="300"/>
      <c r="AQ11" s="300"/>
      <c r="AV11" s="300"/>
      <c r="AX11" s="302"/>
      <c r="BA11" s="300"/>
      <c r="BE11" s="289"/>
      <c r="BF11" s="300"/>
      <c r="BJ11" s="289"/>
      <c r="BK11" s="300"/>
      <c r="BO11" s="289"/>
      <c r="BP11" s="300"/>
      <c r="BT11" s="302"/>
      <c r="BU11" s="300"/>
      <c r="BY11" s="302"/>
      <c r="BZ11" s="300"/>
      <c r="CD11" s="302"/>
      <c r="CE11" s="300"/>
      <c r="CI11" s="302"/>
      <c r="CJ11" s="300"/>
      <c r="CN11" s="302"/>
      <c r="CO11" s="300"/>
    </row>
    <row r="12" spans="2:95" x14ac:dyDescent="0.25">
      <c r="C12" s="300"/>
      <c r="D12" s="311">
        <v>7500</v>
      </c>
      <c r="E12" s="310" t="s">
        <v>450</v>
      </c>
      <c r="H12" s="300"/>
      <c r="M12" s="300"/>
      <c r="R12" s="300"/>
      <c r="W12" s="300"/>
      <c r="AB12" s="300"/>
      <c r="AG12" s="300"/>
      <c r="AL12" s="300"/>
      <c r="AQ12" s="300"/>
      <c r="AV12" s="300"/>
      <c r="AX12" s="302"/>
      <c r="BA12" s="300"/>
      <c r="BE12" s="289"/>
      <c r="BF12" s="300"/>
      <c r="BJ12" s="289"/>
      <c r="BK12" s="300"/>
      <c r="BO12" s="289"/>
      <c r="BP12" s="300"/>
      <c r="BT12" s="302"/>
      <c r="BU12" s="300"/>
      <c r="BY12" s="302"/>
      <c r="BZ12" s="300"/>
      <c r="CD12" s="302"/>
      <c r="CE12" s="300"/>
      <c r="CI12" s="302"/>
      <c r="CJ12" s="300"/>
      <c r="CN12" s="302"/>
      <c r="CO12" s="300"/>
    </row>
    <row r="13" spans="2:95" x14ac:dyDescent="0.25">
      <c r="C13" s="304"/>
      <c r="D13" s="312">
        <v>5000</v>
      </c>
      <c r="E13" s="310" t="s">
        <v>451</v>
      </c>
      <c r="H13" s="300"/>
      <c r="M13" s="300"/>
      <c r="R13" s="300"/>
      <c r="W13" s="300"/>
      <c r="AB13" s="300"/>
      <c r="AG13" s="300"/>
      <c r="AL13" s="300"/>
      <c r="AQ13" s="300"/>
      <c r="AV13" s="300"/>
      <c r="AX13" s="302"/>
      <c r="BA13" s="300"/>
      <c r="BE13" s="289"/>
      <c r="BF13" s="300"/>
      <c r="BJ13" s="289"/>
      <c r="BK13" s="300"/>
      <c r="BO13" s="289"/>
      <c r="BP13" s="300"/>
      <c r="BT13" s="302"/>
      <c r="BU13" s="300"/>
      <c r="BY13" s="302"/>
      <c r="BZ13" s="300"/>
      <c r="CD13" s="302"/>
      <c r="CE13" s="300"/>
      <c r="CI13" s="302"/>
      <c r="CJ13" s="300"/>
      <c r="CN13" s="302"/>
      <c r="CO13" s="300"/>
    </row>
    <row r="14" spans="2:95" x14ac:dyDescent="0.25">
      <c r="C14" s="300"/>
      <c r="D14" s="307">
        <v>2000</v>
      </c>
      <c r="E14" s="310" t="s">
        <v>464</v>
      </c>
      <c r="H14" s="300"/>
      <c r="M14" s="300"/>
      <c r="R14" s="300"/>
      <c r="W14" s="300"/>
      <c r="AB14" s="300"/>
      <c r="AG14" s="300"/>
      <c r="AL14" s="300"/>
      <c r="AQ14" s="300"/>
      <c r="AV14" s="300"/>
      <c r="AX14" s="302"/>
      <c r="BA14" s="300"/>
      <c r="BE14" s="289"/>
      <c r="BF14" s="300"/>
      <c r="BJ14" s="289"/>
      <c r="BK14" s="300"/>
      <c r="BO14" s="289"/>
      <c r="BP14" s="300"/>
      <c r="BT14" s="302"/>
      <c r="BU14" s="300"/>
      <c r="BY14" s="302"/>
      <c r="BZ14" s="300"/>
      <c r="CD14" s="302"/>
      <c r="CE14" s="300"/>
      <c r="CI14" s="302"/>
      <c r="CJ14" s="300"/>
      <c r="CN14" s="302"/>
      <c r="CO14" s="300"/>
    </row>
    <row r="15" spans="2:95" x14ac:dyDescent="0.25">
      <c r="C15" s="300"/>
      <c r="D15" s="307">
        <v>1500</v>
      </c>
      <c r="E15" s="310" t="s">
        <v>467</v>
      </c>
      <c r="H15" s="300"/>
      <c r="M15" s="300"/>
      <c r="R15" s="300"/>
      <c r="W15" s="300"/>
      <c r="AB15" s="300"/>
      <c r="AG15" s="300"/>
      <c r="AL15" s="300"/>
      <c r="AQ15" s="300"/>
      <c r="AV15" s="300"/>
      <c r="AX15" s="302"/>
      <c r="BA15" s="300"/>
      <c r="BE15" s="289"/>
      <c r="BF15" s="300"/>
      <c r="BJ15" s="289"/>
      <c r="BK15" s="300"/>
      <c r="BO15" s="289"/>
      <c r="BP15" s="300"/>
      <c r="BT15" s="302"/>
      <c r="BU15" s="300"/>
      <c r="BY15" s="302"/>
      <c r="BZ15" s="300"/>
      <c r="CD15" s="302"/>
      <c r="CE15" s="300"/>
      <c r="CI15" s="302"/>
      <c r="CJ15" s="300"/>
      <c r="CN15" s="302"/>
      <c r="CO15" s="300"/>
    </row>
    <row r="16" spans="2:95" x14ac:dyDescent="0.25">
      <c r="C16" s="300"/>
      <c r="D16" s="307">
        <v>33000</v>
      </c>
      <c r="E16" s="310" t="s">
        <v>470</v>
      </c>
      <c r="H16" s="300"/>
      <c r="M16" s="300"/>
      <c r="R16" s="300"/>
      <c r="W16" s="300"/>
      <c r="AB16" s="300"/>
      <c r="AG16" s="300"/>
      <c r="AL16" s="300"/>
      <c r="AQ16" s="300"/>
      <c r="AV16" s="300"/>
      <c r="AX16" s="302"/>
      <c r="BA16" s="300"/>
      <c r="BE16" s="289"/>
      <c r="BF16" s="300"/>
      <c r="BJ16" s="289"/>
      <c r="BK16" s="300"/>
      <c r="BO16" s="289"/>
      <c r="BP16" s="300"/>
      <c r="BT16" s="302"/>
      <c r="BU16" s="300"/>
      <c r="BY16" s="302"/>
      <c r="BZ16" s="300"/>
      <c r="CD16" s="302"/>
      <c r="CE16" s="300"/>
      <c r="CI16" s="302"/>
      <c r="CJ16" s="300"/>
      <c r="CN16" s="302"/>
      <c r="CO16" s="300"/>
    </row>
    <row r="17" spans="1:95" x14ac:dyDescent="0.25">
      <c r="C17" s="300"/>
      <c r="D17" s="307">
        <v>49882</v>
      </c>
      <c r="E17" s="310" t="s">
        <v>471</v>
      </c>
      <c r="H17" s="300"/>
      <c r="I17" s="292" t="s">
        <v>472</v>
      </c>
      <c r="M17" s="300"/>
      <c r="N17" s="292" t="s">
        <v>472</v>
      </c>
      <c r="R17" s="300"/>
      <c r="S17" s="292" t="s">
        <v>472</v>
      </c>
      <c r="W17" s="300"/>
      <c r="X17" s="292" t="s">
        <v>472</v>
      </c>
      <c r="AB17" s="300"/>
      <c r="AC17" s="292" t="s">
        <v>472</v>
      </c>
      <c r="AG17" s="300"/>
      <c r="AL17" s="300"/>
      <c r="AM17" s="292" t="s">
        <v>472</v>
      </c>
      <c r="AQ17" s="300"/>
      <c r="AR17" s="292" t="s">
        <v>472</v>
      </c>
      <c r="AV17" s="300"/>
      <c r="AW17" s="292" t="s">
        <v>472</v>
      </c>
      <c r="AX17" s="302"/>
      <c r="BA17" s="300"/>
      <c r="BB17" s="292" t="s">
        <v>472</v>
      </c>
      <c r="BE17" s="289"/>
      <c r="BF17" s="300"/>
      <c r="BG17" s="292" t="s">
        <v>472</v>
      </c>
      <c r="BJ17" s="289"/>
      <c r="BK17" s="300"/>
      <c r="BL17" s="292" t="s">
        <v>472</v>
      </c>
      <c r="BO17" s="289"/>
      <c r="BP17" s="300"/>
      <c r="BQ17" s="292" t="s">
        <v>472</v>
      </c>
      <c r="BT17" s="302"/>
      <c r="BU17" s="300"/>
      <c r="BV17" s="292" t="s">
        <v>472</v>
      </c>
      <c r="BY17" s="302"/>
      <c r="BZ17" s="300"/>
      <c r="CA17" s="292" t="s">
        <v>472</v>
      </c>
      <c r="CD17" s="302"/>
      <c r="CE17" s="300"/>
      <c r="CF17" s="292" t="s">
        <v>472</v>
      </c>
      <c r="CI17" s="302"/>
      <c r="CJ17" s="300"/>
      <c r="CK17" s="292" t="s">
        <v>472</v>
      </c>
      <c r="CN17" s="302"/>
      <c r="CO17" s="300"/>
      <c r="CP17" s="292" t="s">
        <v>472</v>
      </c>
    </row>
    <row r="18" spans="1:95" x14ac:dyDescent="0.25">
      <c r="C18" s="300"/>
      <c r="D18" s="307"/>
      <c r="E18" s="310"/>
      <c r="H18" s="300"/>
      <c r="M18" s="300"/>
      <c r="R18" s="300"/>
      <c r="W18" s="300"/>
      <c r="AB18" s="300"/>
      <c r="AG18" s="300"/>
      <c r="AL18" s="300"/>
      <c r="AQ18" s="300"/>
      <c r="AV18" s="300"/>
      <c r="AX18" s="302"/>
      <c r="BA18" s="300"/>
      <c r="BE18" s="289"/>
      <c r="BF18" s="300"/>
      <c r="BJ18" s="289"/>
      <c r="BK18" s="300"/>
      <c r="BO18" s="289"/>
      <c r="BP18" s="300"/>
      <c r="BT18" s="302"/>
      <c r="BU18" s="300"/>
      <c r="BY18" s="302"/>
      <c r="BZ18" s="300"/>
      <c r="CD18" s="302"/>
      <c r="CE18" s="300"/>
      <c r="CI18" s="302"/>
      <c r="CJ18" s="300"/>
      <c r="CN18" s="302"/>
      <c r="CO18" s="300"/>
    </row>
    <row r="19" spans="1:95" x14ac:dyDescent="0.25">
      <c r="C19" s="300"/>
      <c r="D19" s="307" t="s">
        <v>472</v>
      </c>
      <c r="E19" s="310"/>
      <c r="H19" s="300"/>
      <c r="M19" s="300"/>
      <c r="R19" s="300"/>
      <c r="W19" s="300"/>
      <c r="AB19" s="300"/>
      <c r="AG19" s="300"/>
      <c r="AL19" s="300"/>
      <c r="AQ19" s="300"/>
      <c r="AV19" s="300"/>
      <c r="AX19" s="302"/>
      <c r="BA19" s="300"/>
      <c r="BE19" s="289"/>
      <c r="BF19" s="300"/>
      <c r="BJ19" s="289"/>
      <c r="BK19" s="300"/>
      <c r="BO19" s="289"/>
      <c r="BP19" s="300"/>
      <c r="BT19" s="302"/>
      <c r="BU19" s="300"/>
      <c r="BY19" s="302"/>
      <c r="BZ19" s="300"/>
      <c r="CD19" s="302"/>
      <c r="CE19" s="300"/>
      <c r="CI19" s="302"/>
      <c r="CJ19" s="300"/>
      <c r="CN19" s="302"/>
      <c r="CO19" s="300"/>
    </row>
    <row r="20" spans="1:95" x14ac:dyDescent="0.25">
      <c r="C20" s="300"/>
      <c r="D20" s="313"/>
      <c r="E20" s="314"/>
      <c r="H20" s="300"/>
      <c r="M20" s="300"/>
      <c r="R20" s="300"/>
      <c r="W20" s="300"/>
      <c r="AB20" s="300"/>
      <c r="AG20" s="300"/>
      <c r="AL20" s="300"/>
      <c r="AQ20" s="300"/>
      <c r="AV20" s="300"/>
      <c r="AX20" s="302"/>
      <c r="BA20" s="315"/>
      <c r="BE20" s="289"/>
      <c r="BF20" s="315"/>
      <c r="BJ20" s="289"/>
      <c r="BK20" s="315"/>
      <c r="BO20" s="289"/>
      <c r="BP20" s="315"/>
      <c r="BT20" s="302"/>
      <c r="BU20" s="315"/>
      <c r="BY20" s="302"/>
      <c r="BZ20" s="315"/>
      <c r="CD20" s="302"/>
      <c r="CE20" s="315"/>
      <c r="CI20" s="302"/>
      <c r="CJ20" s="315"/>
      <c r="CN20" s="302"/>
      <c r="CO20" s="315"/>
    </row>
    <row r="21" spans="1:95" x14ac:dyDescent="0.25">
      <c r="C21" s="290">
        <f>SUM(C3:C20)</f>
        <v>453025.48</v>
      </c>
      <c r="D21" s="316">
        <f>SUM(D3:D19)</f>
        <v>128732</v>
      </c>
      <c r="H21" s="290">
        <f>SUM(H3:H20)</f>
        <v>9301.75</v>
      </c>
      <c r="I21" s="318">
        <f>SUM(I3:I20)</f>
        <v>6672</v>
      </c>
      <c r="M21" s="319">
        <f>SUM(M3:M20)</f>
        <v>151250</v>
      </c>
      <c r="N21" s="318">
        <f>SUM(N3:N20)</f>
        <v>107500</v>
      </c>
      <c r="R21" s="290">
        <f>SUM(R3:R20)</f>
        <v>120000</v>
      </c>
      <c r="S21" s="318">
        <f>SUM(S3:S20)</f>
        <v>0</v>
      </c>
      <c r="W21" s="290">
        <f>SUM(W3:W20)</f>
        <v>50000</v>
      </c>
      <c r="X21" s="318">
        <f>SUM(X3:X20)</f>
        <v>50000</v>
      </c>
      <c r="AB21" s="290">
        <f>SUM(AB3:AB20)</f>
        <v>80000</v>
      </c>
      <c r="AC21" s="318">
        <f>SUM(AC3:AC20)</f>
        <v>0</v>
      </c>
      <c r="AG21" s="290">
        <f>SUM(AG3:AG20)</f>
        <v>40433.67</v>
      </c>
      <c r="AH21" s="318">
        <f>SUM(AH3:AH20)</f>
        <v>20434</v>
      </c>
      <c r="AL21" s="290">
        <f>SUM(AL3:AL20)</f>
        <v>30833</v>
      </c>
      <c r="AM21" s="318">
        <f>SUM(AM3:AM20)</f>
        <v>0</v>
      </c>
      <c r="AQ21" s="290">
        <f>SUM(AQ3:AQ20)</f>
        <v>10000</v>
      </c>
      <c r="AR21" s="318">
        <f>SUM(AR3:AR20)</f>
        <v>0</v>
      </c>
      <c r="AV21" s="290">
        <f>SUM(AV3:AV20)</f>
        <v>1800</v>
      </c>
      <c r="AW21" s="318">
        <f>SUM(AW3:AW20)</f>
        <v>1200</v>
      </c>
      <c r="BA21" s="318">
        <f>SUM(BA3:BA20)</f>
        <v>2159</v>
      </c>
      <c r="BB21" s="316"/>
      <c r="BC21" s="292"/>
      <c r="BE21" s="289"/>
      <c r="BF21" s="290">
        <f>SUM(BF3:BF20)</f>
        <v>16508</v>
      </c>
      <c r="BG21" s="290">
        <f>SUM(BG3:BG20)</f>
        <v>20623</v>
      </c>
      <c r="BH21" s="292"/>
      <c r="BJ21" s="289"/>
      <c r="BK21" s="290">
        <f>SUM(BK3:BK20)</f>
        <v>2000</v>
      </c>
      <c r="BL21" s="290">
        <f>SUM(BL3:BL20)</f>
        <v>1880</v>
      </c>
      <c r="BM21" s="292"/>
      <c r="BO21" s="289"/>
      <c r="BP21" s="290">
        <f>SUM(BP3:BP20)</f>
        <v>6500</v>
      </c>
      <c r="BQ21" s="290">
        <f>SUM(BQ3:BQ20)</f>
        <v>5290</v>
      </c>
      <c r="BR21" s="292"/>
      <c r="BS21" s="292"/>
      <c r="BT21" s="289"/>
      <c r="BU21" s="290">
        <f>SUM(BU3:BU20)</f>
        <v>1800</v>
      </c>
      <c r="BV21" s="318">
        <f>SUM(BV3:BV20)</f>
        <v>600</v>
      </c>
      <c r="BW21" s="292"/>
      <c r="BX21" s="292"/>
      <c r="BY21" s="289"/>
      <c r="BZ21" s="290">
        <f>SUM(BZ3:BZ20)</f>
        <v>2600</v>
      </c>
      <c r="CA21" s="290">
        <f>SUM(CA3:CA20)</f>
        <v>2600</v>
      </c>
      <c r="CB21" s="292"/>
      <c r="CC21" s="292"/>
      <c r="CD21" s="289"/>
      <c r="CE21" s="290">
        <f>SUM(CE3:CE20)</f>
        <v>11000</v>
      </c>
      <c r="CF21" s="290">
        <f>SUM(CF3:CF20)</f>
        <v>5000</v>
      </c>
      <c r="CG21" s="292"/>
      <c r="CI21" s="289"/>
      <c r="CJ21" s="290">
        <f>SUM(CJ3:CJ20)</f>
        <v>8500</v>
      </c>
      <c r="CK21" s="290">
        <f>SUM(CK3:CK20)</f>
        <v>0</v>
      </c>
      <c r="CL21" s="292"/>
      <c r="CN21" s="289"/>
      <c r="CO21" s="290">
        <f>SUM(CO3:CO20)</f>
        <v>8500</v>
      </c>
      <c r="CP21" s="290">
        <f>SUM(CP3:CP20)</f>
        <v>0</v>
      </c>
      <c r="CQ21" s="292"/>
    </row>
    <row r="22" spans="1:95" x14ac:dyDescent="0.25">
      <c r="A22" s="280"/>
      <c r="C22" s="320">
        <f>C21-D21</f>
        <v>324293.48</v>
      </c>
      <c r="H22" s="320">
        <f>H21-I21</f>
        <v>2629.75</v>
      </c>
      <c r="M22" s="321">
        <f>M21-N21</f>
        <v>43750</v>
      </c>
      <c r="R22" s="320">
        <f>R21-S21</f>
        <v>120000</v>
      </c>
      <c r="W22" s="320">
        <f>W21-X21</f>
        <v>0</v>
      </c>
      <c r="AB22" s="320">
        <f>AB21-AC21</f>
        <v>80000</v>
      </c>
      <c r="AG22" s="320">
        <f>AG21-AH21</f>
        <v>19999.669999999998</v>
      </c>
      <c r="AL22" s="320">
        <f>AL21-AM21</f>
        <v>30833</v>
      </c>
      <c r="AQ22" s="320">
        <f>AQ21-AR21</f>
        <v>10000</v>
      </c>
      <c r="AV22" s="320">
        <f>AV21-AW21</f>
        <v>600</v>
      </c>
      <c r="BA22" s="320"/>
      <c r="BB22" s="320"/>
      <c r="BE22" s="289"/>
      <c r="BF22" s="320"/>
      <c r="BG22" s="320">
        <f>BG21-BF21</f>
        <v>4115</v>
      </c>
      <c r="BH22" s="322"/>
      <c r="BJ22" s="289"/>
      <c r="BK22" s="320">
        <f>BK21-BL21</f>
        <v>120</v>
      </c>
      <c r="BL22" s="320"/>
      <c r="BM22" s="322"/>
      <c r="BO22" s="289"/>
      <c r="BP22" s="320">
        <f>BP21-BQ21</f>
        <v>1210</v>
      </c>
      <c r="BQ22" s="320"/>
      <c r="BR22" s="322"/>
      <c r="BS22" s="322"/>
      <c r="BT22" s="289"/>
      <c r="BU22" s="320">
        <f>BU21-BV21</f>
        <v>1200</v>
      </c>
      <c r="BV22" s="320"/>
      <c r="BW22" s="322"/>
      <c r="BX22" s="322"/>
      <c r="BY22" s="289"/>
      <c r="BZ22" s="320">
        <f>BZ21-CA21</f>
        <v>0</v>
      </c>
      <c r="CA22" s="320"/>
      <c r="CB22" s="322"/>
      <c r="CC22" s="322"/>
      <c r="CD22" s="289"/>
      <c r="CE22" s="320">
        <f>CE21-CF21</f>
        <v>6000</v>
      </c>
      <c r="CF22" s="320"/>
      <c r="CG22" s="322"/>
      <c r="CI22" s="289"/>
      <c r="CJ22" s="320">
        <f>CJ21-CK21</f>
        <v>8500</v>
      </c>
      <c r="CK22" s="320"/>
      <c r="CL22" s="322"/>
      <c r="CN22" s="289"/>
      <c r="CO22" s="320">
        <f>CO21-CP21</f>
        <v>8500</v>
      </c>
      <c r="CP22" s="320"/>
      <c r="CQ22" s="322"/>
    </row>
    <row r="23" spans="1:95" x14ac:dyDescent="0.25">
      <c r="A23" s="280"/>
      <c r="C23" s="320"/>
      <c r="H23" s="320"/>
      <c r="M23" s="320"/>
      <c r="R23" s="320"/>
      <c r="W23" s="320"/>
      <c r="AB23" s="320"/>
      <c r="AG23" s="320"/>
      <c r="AL23" s="320"/>
      <c r="AQ23" s="320"/>
      <c r="AV23" s="320"/>
      <c r="BA23" s="320"/>
      <c r="BB23" s="320"/>
      <c r="BC23" s="322"/>
    </row>
    <row r="24" spans="1:95" x14ac:dyDescent="0.25">
      <c r="A24" s="280"/>
      <c r="B24" s="455" t="s">
        <v>473</v>
      </c>
      <c r="C24" s="456"/>
      <c r="D24" s="456"/>
      <c r="E24" s="457"/>
      <c r="G24" s="455" t="s">
        <v>371</v>
      </c>
      <c r="H24" s="456"/>
      <c r="I24" s="456"/>
      <c r="J24" s="457"/>
      <c r="L24" s="455" t="s">
        <v>474</v>
      </c>
      <c r="M24" s="456"/>
      <c r="N24" s="456"/>
      <c r="O24" s="457"/>
      <c r="Q24" s="455" t="s">
        <v>147</v>
      </c>
      <c r="R24" s="456"/>
      <c r="S24" s="456"/>
      <c r="T24" s="457"/>
      <c r="U24" s="323"/>
      <c r="V24" s="455" t="s">
        <v>475</v>
      </c>
      <c r="W24" s="456"/>
      <c r="X24" s="456"/>
      <c r="Y24" s="457"/>
      <c r="Z24" s="323"/>
      <c r="AA24" s="455" t="s">
        <v>476</v>
      </c>
      <c r="AB24" s="456"/>
      <c r="AC24" s="456"/>
      <c r="AD24" s="457"/>
      <c r="AE24" s="323"/>
      <c r="AF24" s="455" t="s">
        <v>477</v>
      </c>
      <c r="AG24" s="456"/>
      <c r="AH24" s="456"/>
      <c r="AI24" s="457"/>
      <c r="AK24" s="458" t="s">
        <v>478</v>
      </c>
      <c r="AL24" s="459"/>
      <c r="AM24" s="459"/>
      <c r="AN24" s="460"/>
      <c r="AP24" s="458" t="s">
        <v>148</v>
      </c>
      <c r="AQ24" s="461"/>
      <c r="AR24" s="461"/>
      <c r="AS24" s="462"/>
      <c r="AU24" s="458" t="s">
        <v>479</v>
      </c>
      <c r="AV24" s="461"/>
      <c r="AW24" s="461"/>
      <c r="AX24" s="462"/>
    </row>
    <row r="25" spans="1:95" x14ac:dyDescent="0.25">
      <c r="A25" s="280"/>
      <c r="B25" s="288"/>
      <c r="C25" s="290"/>
      <c r="H25" s="290"/>
      <c r="I25" s="280">
        <v>8400</v>
      </c>
      <c r="J25" s="310" t="s">
        <v>480</v>
      </c>
      <c r="M25" s="290"/>
      <c r="Q25" s="324" t="s">
        <v>471</v>
      </c>
      <c r="R25" s="290">
        <v>16490</v>
      </c>
      <c r="S25" s="284">
        <v>16490</v>
      </c>
      <c r="T25" s="286"/>
      <c r="V25" s="282"/>
      <c r="W25" s="290"/>
      <c r="X25" s="280">
        <v>1087</v>
      </c>
      <c r="Y25" s="284" t="s">
        <v>481</v>
      </c>
      <c r="AB25" s="290"/>
      <c r="AC25" s="297">
        <v>32500</v>
      </c>
      <c r="AD25" s="286"/>
      <c r="AF25" s="295" t="s">
        <v>471</v>
      </c>
      <c r="AG25" s="290">
        <v>17540.259999999998</v>
      </c>
      <c r="AH25" s="284">
        <f>'[4]RESERVAS x1'!M9</f>
        <v>17540.255067457081</v>
      </c>
      <c r="AI25" s="284"/>
      <c r="AK25" s="295" t="s">
        <v>471</v>
      </c>
      <c r="AL25" s="290">
        <v>4196.2299999999996</v>
      </c>
      <c r="AM25" s="284">
        <f>'[4]DRE x1'!F40</f>
        <v>4196.2332697265747</v>
      </c>
      <c r="AN25" s="284"/>
      <c r="AP25" s="295" t="s">
        <v>471</v>
      </c>
      <c r="AQ25" s="290">
        <v>11656.2</v>
      </c>
      <c r="AR25" s="284">
        <f>'[4]DRE x1'!F39</f>
        <v>11656.203527018264</v>
      </c>
      <c r="AS25" s="284"/>
      <c r="AV25" s="290">
        <v>637.25</v>
      </c>
      <c r="AW25" s="284">
        <v>637</v>
      </c>
      <c r="AX25" s="310" t="s">
        <v>454</v>
      </c>
    </row>
    <row r="26" spans="1:95" x14ac:dyDescent="0.25">
      <c r="A26" s="280"/>
      <c r="C26" s="300"/>
      <c r="E26" s="285"/>
      <c r="G26" s="288" t="s">
        <v>452</v>
      </c>
      <c r="H26" s="300">
        <v>8400</v>
      </c>
      <c r="I26" s="280">
        <v>3900</v>
      </c>
      <c r="J26" s="310" t="s">
        <v>482</v>
      </c>
      <c r="M26" s="300"/>
      <c r="Q26" s="295" t="s">
        <v>440</v>
      </c>
      <c r="R26" s="300">
        <v>2159</v>
      </c>
      <c r="S26" s="284">
        <v>12750</v>
      </c>
      <c r="T26" s="286" t="s">
        <v>483</v>
      </c>
      <c r="V26" s="288">
        <v>1</v>
      </c>
      <c r="W26" s="300">
        <v>1087</v>
      </c>
      <c r="X26" s="280">
        <v>597</v>
      </c>
      <c r="Y26" s="292" t="s">
        <v>484</v>
      </c>
      <c r="AA26" s="295" t="s">
        <v>454</v>
      </c>
      <c r="AB26" s="304">
        <v>32500</v>
      </c>
      <c r="AC26" s="301"/>
      <c r="AG26" s="300"/>
      <c r="AH26" s="280">
        <v>9424</v>
      </c>
      <c r="AI26" s="295" t="s">
        <v>485</v>
      </c>
      <c r="AL26" s="300"/>
      <c r="AM26" s="280">
        <v>2254.5</v>
      </c>
      <c r="AN26" s="295" t="s">
        <v>486</v>
      </c>
      <c r="AQ26" s="300"/>
      <c r="AR26" s="280">
        <v>6262.5</v>
      </c>
      <c r="AS26" s="295" t="s">
        <v>486</v>
      </c>
      <c r="AV26" s="300"/>
    </row>
    <row r="27" spans="1:95" x14ac:dyDescent="0.25">
      <c r="A27" s="280"/>
      <c r="C27" s="300"/>
      <c r="E27" s="285"/>
      <c r="H27" s="300"/>
      <c r="M27" s="300"/>
      <c r="R27" s="300"/>
      <c r="S27" s="306">
        <v>7438</v>
      </c>
      <c r="T27" s="286" t="s">
        <v>487</v>
      </c>
      <c r="V27" s="289">
        <v>4</v>
      </c>
      <c r="W27" s="300">
        <v>821</v>
      </c>
      <c r="AB27" s="304"/>
      <c r="AC27" s="301"/>
      <c r="AG27" s="300"/>
      <c r="AL27" s="300"/>
      <c r="AQ27" s="300"/>
      <c r="AV27" s="300"/>
    </row>
    <row r="28" spans="1:95" x14ac:dyDescent="0.25">
      <c r="A28" s="280"/>
      <c r="C28" s="300"/>
      <c r="E28" s="285"/>
      <c r="H28" s="300"/>
      <c r="M28" s="300"/>
      <c r="R28" s="300"/>
      <c r="S28" s="284"/>
      <c r="T28" s="286"/>
      <c r="W28" s="300"/>
      <c r="AB28" s="304"/>
      <c r="AC28" s="301"/>
      <c r="AG28" s="300"/>
      <c r="AL28" s="300"/>
      <c r="AQ28" s="300"/>
      <c r="AV28" s="300"/>
    </row>
    <row r="29" spans="1:95" x14ac:dyDescent="0.25">
      <c r="A29" s="280"/>
      <c r="C29" s="300"/>
      <c r="E29" s="285"/>
      <c r="H29" s="300"/>
      <c r="M29" s="300"/>
      <c r="R29" s="300"/>
      <c r="S29" s="284"/>
      <c r="T29" s="286"/>
      <c r="W29" s="300"/>
      <c r="AB29" s="304"/>
      <c r="AC29" s="301"/>
      <c r="AG29" s="300"/>
      <c r="AL29" s="300"/>
      <c r="AQ29" s="300"/>
      <c r="AV29" s="300"/>
    </row>
    <row r="30" spans="1:95" x14ac:dyDescent="0.25">
      <c r="A30" s="280"/>
      <c r="C30" s="300"/>
      <c r="E30" s="285"/>
      <c r="H30" s="300"/>
      <c r="M30" s="300"/>
      <c r="R30" s="300"/>
      <c r="S30" s="284"/>
      <c r="T30" s="286"/>
      <c r="W30" s="300"/>
      <c r="AB30" s="304"/>
      <c r="AC30" s="301"/>
      <c r="AD30" s="292"/>
      <c r="AG30" s="300"/>
      <c r="AL30" s="300"/>
      <c r="AQ30" s="300"/>
      <c r="AV30" s="300"/>
    </row>
    <row r="31" spans="1:95" x14ac:dyDescent="0.25">
      <c r="A31" s="280"/>
      <c r="C31" s="300"/>
      <c r="H31" s="300"/>
      <c r="M31" s="300"/>
      <c r="R31" s="300"/>
      <c r="S31" s="306"/>
      <c r="T31" s="286"/>
      <c r="W31" s="300"/>
      <c r="AB31" s="300"/>
      <c r="AG31" s="300"/>
      <c r="AL31" s="300"/>
      <c r="AQ31" s="300"/>
      <c r="AV31" s="300"/>
    </row>
    <row r="32" spans="1:95" x14ac:dyDescent="0.25">
      <c r="A32" s="280"/>
      <c r="C32" s="290"/>
      <c r="D32" s="318"/>
      <c r="H32" s="290">
        <f>SUM(H25:H31)</f>
        <v>8400</v>
      </c>
      <c r="I32" s="318">
        <f>SUM(I25:I31)</f>
        <v>12300</v>
      </c>
      <c r="M32" s="290">
        <f>SUM(M25:M31)</f>
        <v>0</v>
      </c>
      <c r="N32" s="318">
        <f>SUM(N25:N31)</f>
        <v>0</v>
      </c>
      <c r="R32" s="290">
        <f>SUM(R25:R31)</f>
        <v>18649</v>
      </c>
      <c r="S32" s="318">
        <f>SUM(S25:S31)</f>
        <v>36678</v>
      </c>
      <c r="W32" s="290">
        <f>SUM(W25:W31)</f>
        <v>1908</v>
      </c>
      <c r="X32" s="318">
        <f>SUM(X25:X31)</f>
        <v>1684</v>
      </c>
      <c r="AB32" s="290">
        <f>SUM(AB25:AB31)</f>
        <v>32500</v>
      </c>
      <c r="AC32" s="318">
        <f>SUM(AC25:AC31)</f>
        <v>32500</v>
      </c>
      <c r="AG32" s="290">
        <f>SUM(AG25:AG31)</f>
        <v>17540.259999999998</v>
      </c>
      <c r="AH32" s="318">
        <f>SUM(AH25:AH31)</f>
        <v>26964.255067457081</v>
      </c>
      <c r="AL32" s="290">
        <f>AL25</f>
        <v>4196.2299999999996</v>
      </c>
      <c r="AM32" s="318">
        <f>AM25+AM26</f>
        <v>6450.7332697265747</v>
      </c>
      <c r="AQ32" s="290">
        <f>AQ25</f>
        <v>11656.2</v>
      </c>
      <c r="AR32" s="318">
        <f>SUM(AR25:AR31)</f>
        <v>17918.703527018264</v>
      </c>
      <c r="AV32" s="290"/>
      <c r="AW32" s="318">
        <f>AW25</f>
        <v>637</v>
      </c>
      <c r="AX32" s="292" t="s">
        <v>472</v>
      </c>
    </row>
    <row r="33" spans="2:70" s="280" customFormat="1" x14ac:dyDescent="0.25">
      <c r="B33" s="289"/>
      <c r="D33" s="320"/>
      <c r="E33" s="317"/>
      <c r="F33" s="279"/>
      <c r="G33" s="289"/>
      <c r="I33" s="320">
        <f>I32-H32</f>
        <v>3900</v>
      </c>
      <c r="J33" s="286" t="s">
        <v>472</v>
      </c>
      <c r="K33" s="279"/>
      <c r="L33" s="289"/>
      <c r="N33" s="320">
        <f>N32-M32</f>
        <v>0</v>
      </c>
      <c r="O33" s="289"/>
      <c r="P33" s="279"/>
      <c r="Q33" s="289"/>
      <c r="S33" s="320">
        <f>S32-R32</f>
        <v>18029</v>
      </c>
      <c r="T33" s="325" t="s">
        <v>472</v>
      </c>
      <c r="U33" s="326"/>
      <c r="V33" s="327" t="s">
        <v>472</v>
      </c>
      <c r="W33" s="320">
        <f>W32-X32</f>
        <v>224</v>
      </c>
      <c r="Y33" s="320"/>
      <c r="Z33" s="326"/>
      <c r="AA33" s="327"/>
      <c r="AB33" s="320"/>
      <c r="AC33" s="320">
        <f>AC32-AB32</f>
        <v>0</v>
      </c>
      <c r="AD33" s="320"/>
      <c r="AE33" s="326"/>
      <c r="AF33" s="327"/>
      <c r="AG33" s="320"/>
      <c r="AH33" s="320">
        <f>AH32-AG32</f>
        <v>9423.9950674570828</v>
      </c>
      <c r="AI33" s="320" t="s">
        <v>472</v>
      </c>
      <c r="AJ33" s="279"/>
      <c r="AK33" s="320"/>
      <c r="AL33" s="320"/>
      <c r="AM33" s="328">
        <f>AM32-AL32</f>
        <v>2254.5032697265751</v>
      </c>
      <c r="AN33" s="320" t="s">
        <v>472</v>
      </c>
      <c r="AO33" s="279"/>
      <c r="AP33" s="327"/>
      <c r="AQ33" s="320"/>
      <c r="AR33" s="328">
        <f>AR32-AQ32</f>
        <v>6262.5035270182634</v>
      </c>
      <c r="AS33" s="320" t="s">
        <v>472</v>
      </c>
      <c r="AT33" s="279"/>
      <c r="AU33" s="327"/>
      <c r="AV33" s="320"/>
      <c r="AW33" s="320"/>
      <c r="AX33" s="320"/>
      <c r="AY33" s="279"/>
      <c r="AZ33" s="289"/>
    </row>
    <row r="34" spans="2:70" s="280" customFormat="1" x14ac:dyDescent="0.25">
      <c r="B34" s="289"/>
      <c r="D34" s="320"/>
      <c r="E34" s="317"/>
      <c r="F34" s="279"/>
      <c r="G34" s="289"/>
      <c r="I34" s="320"/>
      <c r="J34" s="291"/>
      <c r="K34" s="279"/>
      <c r="L34" s="289"/>
      <c r="N34" s="320"/>
      <c r="O34" s="289"/>
      <c r="P34" s="279"/>
      <c r="Q34" s="289"/>
      <c r="S34" s="320"/>
      <c r="T34" s="325"/>
      <c r="U34" s="326"/>
      <c r="V34" s="327"/>
      <c r="W34" s="320"/>
      <c r="Y34" s="320"/>
      <c r="Z34" s="326"/>
      <c r="AA34" s="327"/>
      <c r="AB34" s="320"/>
      <c r="AC34" s="320"/>
      <c r="AD34" s="320"/>
      <c r="AE34" s="326"/>
      <c r="AF34" s="327"/>
      <c r="AG34" s="320"/>
      <c r="AH34" s="320"/>
      <c r="AI34" s="320"/>
      <c r="AJ34" s="279"/>
      <c r="AK34" s="320"/>
      <c r="AL34" s="320"/>
      <c r="AM34" s="320"/>
      <c r="AN34" s="320"/>
      <c r="AO34" s="279"/>
      <c r="AP34" s="327"/>
      <c r="AQ34" s="320"/>
      <c r="AR34" s="320"/>
      <c r="AS34" s="320"/>
      <c r="AT34" s="279"/>
      <c r="AU34" s="289"/>
      <c r="AY34" s="279"/>
      <c r="AZ34" s="289"/>
    </row>
    <row r="35" spans="2:70" s="280" customFormat="1" x14ac:dyDescent="0.25">
      <c r="B35" s="463" t="s">
        <v>149</v>
      </c>
      <c r="C35" s="464"/>
      <c r="D35" s="464"/>
      <c r="E35" s="465"/>
      <c r="F35" s="279"/>
      <c r="G35" s="463" t="s">
        <v>150</v>
      </c>
      <c r="H35" s="464"/>
      <c r="I35" s="464"/>
      <c r="J35" s="465"/>
      <c r="K35" s="279"/>
      <c r="L35" s="463" t="s">
        <v>488</v>
      </c>
      <c r="M35" s="464"/>
      <c r="N35" s="464"/>
      <c r="O35" s="465"/>
      <c r="P35" s="279"/>
      <c r="Q35" s="463" t="s">
        <v>489</v>
      </c>
      <c r="R35" s="464"/>
      <c r="S35" s="464"/>
      <c r="T35" s="465"/>
      <c r="U35" s="279"/>
      <c r="V35" s="463" t="s">
        <v>490</v>
      </c>
      <c r="W35" s="464"/>
      <c r="X35" s="464"/>
      <c r="Y35" s="465"/>
      <c r="Z35" s="279"/>
      <c r="AA35" s="469" t="s">
        <v>359</v>
      </c>
      <c r="AB35" s="470"/>
      <c r="AC35" s="470"/>
      <c r="AD35" s="471"/>
      <c r="AE35" s="279"/>
      <c r="AF35" s="469" t="s">
        <v>298</v>
      </c>
      <c r="AG35" s="470"/>
      <c r="AH35" s="470"/>
      <c r="AI35" s="471"/>
      <c r="AJ35" s="279"/>
      <c r="AO35" s="279"/>
      <c r="AP35" s="289"/>
      <c r="AT35" s="279"/>
      <c r="AU35" s="289"/>
      <c r="AY35" s="279"/>
      <c r="AZ35" s="289"/>
    </row>
    <row r="36" spans="2:70" s="280" customFormat="1" x14ac:dyDescent="0.25">
      <c r="B36" s="289"/>
      <c r="C36" s="290"/>
      <c r="D36" s="280">
        <f>'[4]Lanç x1'!D6</f>
        <v>500000</v>
      </c>
      <c r="E36" s="285"/>
      <c r="F36" s="279"/>
      <c r="G36" s="289"/>
      <c r="H36" s="290"/>
      <c r="I36" s="280">
        <f>'[4]Lanç x1'!D147</f>
        <v>1538.6188655664109</v>
      </c>
      <c r="J36" s="286"/>
      <c r="K36" s="279"/>
      <c r="L36" s="289"/>
      <c r="M36" s="290"/>
      <c r="N36" s="280">
        <f>'[4]Lanç x1'!D7</f>
        <v>50000</v>
      </c>
      <c r="O36" s="308"/>
      <c r="P36" s="279"/>
      <c r="Q36" s="293" t="s">
        <v>485</v>
      </c>
      <c r="R36" s="290">
        <v>2398</v>
      </c>
      <c r="S36" s="307">
        <v>16533</v>
      </c>
      <c r="T36" s="310" t="s">
        <v>491</v>
      </c>
      <c r="U36" s="279"/>
      <c r="V36" s="289"/>
      <c r="W36" s="290"/>
      <c r="X36" s="284">
        <f>'[4]Lanç x1'!D157</f>
        <v>11693.503378304722</v>
      </c>
      <c r="Y36" s="305"/>
      <c r="Z36" s="279"/>
      <c r="AA36" s="289"/>
      <c r="AC36" s="316">
        <v>1000</v>
      </c>
      <c r="AD36" s="292" t="s">
        <v>463</v>
      </c>
      <c r="AE36" s="279"/>
      <c r="AF36" s="289"/>
      <c r="AH36" s="316">
        <v>1571</v>
      </c>
      <c r="AI36" s="295" t="s">
        <v>485</v>
      </c>
      <c r="AJ36" s="279"/>
      <c r="AO36" s="279"/>
      <c r="AP36" s="289"/>
      <c r="AT36" s="279"/>
      <c r="AU36" s="289"/>
      <c r="AY36" s="279"/>
      <c r="AZ36" s="289"/>
    </row>
    <row r="37" spans="2:70" s="280" customFormat="1" x14ac:dyDescent="0.25">
      <c r="B37" s="289"/>
      <c r="C37" s="300"/>
      <c r="E37" s="317"/>
      <c r="F37" s="279"/>
      <c r="G37" s="289"/>
      <c r="H37" s="300"/>
      <c r="I37" s="280">
        <v>827</v>
      </c>
      <c r="J37" s="310" t="s">
        <v>485</v>
      </c>
      <c r="K37" s="279"/>
      <c r="L37" s="289"/>
      <c r="M37" s="300"/>
      <c r="O37" s="289"/>
      <c r="P37" s="279"/>
      <c r="Q37" s="293" t="s">
        <v>492</v>
      </c>
      <c r="R37" s="300">
        <v>9424</v>
      </c>
      <c r="T37" s="291"/>
      <c r="U37" s="279"/>
      <c r="V37" s="289"/>
      <c r="W37" s="300"/>
      <c r="X37" s="280">
        <v>4712</v>
      </c>
      <c r="Y37" s="295" t="s">
        <v>493</v>
      </c>
      <c r="Z37" s="279"/>
      <c r="AA37" s="289"/>
      <c r="AC37" s="301"/>
      <c r="AE37" s="279"/>
      <c r="AF37" s="289"/>
      <c r="AH37" s="301"/>
      <c r="AJ37" s="279"/>
      <c r="AO37" s="279"/>
      <c r="AP37" s="289"/>
      <c r="AT37" s="279"/>
      <c r="AU37" s="289"/>
      <c r="AY37" s="279"/>
      <c r="AZ37" s="289"/>
    </row>
    <row r="38" spans="2:70" s="280" customFormat="1" x14ac:dyDescent="0.25">
      <c r="B38" s="289"/>
      <c r="C38" s="300"/>
      <c r="E38" s="317"/>
      <c r="F38" s="279"/>
      <c r="G38" s="289"/>
      <c r="H38" s="300"/>
      <c r="J38" s="291"/>
      <c r="K38" s="279"/>
      <c r="L38" s="289"/>
      <c r="M38" s="300"/>
      <c r="O38" s="289"/>
      <c r="P38" s="279"/>
      <c r="Q38" s="293" t="s">
        <v>493</v>
      </c>
      <c r="R38" s="329">
        <v>4712</v>
      </c>
      <c r="T38" s="291"/>
      <c r="U38" s="279"/>
      <c r="V38" s="289"/>
      <c r="W38" s="300"/>
      <c r="Z38" s="279"/>
      <c r="AA38" s="289"/>
      <c r="AC38" s="301"/>
      <c r="AE38" s="279"/>
      <c r="AF38" s="289"/>
      <c r="AH38" s="301"/>
      <c r="AJ38" s="279"/>
      <c r="AO38" s="279"/>
      <c r="AP38" s="289"/>
      <c r="AT38" s="279"/>
      <c r="AU38" s="289"/>
      <c r="AY38" s="279"/>
      <c r="AZ38" s="289"/>
    </row>
    <row r="39" spans="2:70" s="280" customFormat="1" x14ac:dyDescent="0.25">
      <c r="B39" s="289"/>
      <c r="C39" s="300"/>
      <c r="E39" s="317"/>
      <c r="F39" s="279"/>
      <c r="G39" s="289"/>
      <c r="H39" s="300"/>
      <c r="J39" s="291"/>
      <c r="K39" s="279"/>
      <c r="L39" s="289"/>
      <c r="M39" s="300"/>
      <c r="O39" s="289"/>
      <c r="P39" s="279"/>
      <c r="Q39" s="308"/>
      <c r="R39" s="300"/>
      <c r="T39" s="291"/>
      <c r="U39" s="279"/>
      <c r="V39" s="289"/>
      <c r="W39" s="300"/>
      <c r="Z39" s="279"/>
      <c r="AA39" s="289"/>
      <c r="AC39" s="301"/>
      <c r="AE39" s="279"/>
      <c r="AF39" s="289"/>
      <c r="AH39" s="301"/>
      <c r="AJ39" s="279"/>
      <c r="AO39" s="279"/>
      <c r="AP39" s="289"/>
      <c r="AT39" s="279"/>
      <c r="AU39" s="289"/>
      <c r="AY39" s="279"/>
      <c r="AZ39" s="289"/>
    </row>
    <row r="40" spans="2:70" s="280" customFormat="1" x14ac:dyDescent="0.25">
      <c r="B40" s="289"/>
      <c r="C40" s="300"/>
      <c r="E40" s="317"/>
      <c r="F40" s="279"/>
      <c r="G40" s="289"/>
      <c r="H40" s="300"/>
      <c r="J40" s="291"/>
      <c r="K40" s="279"/>
      <c r="L40" s="289"/>
      <c r="M40" s="300"/>
      <c r="O40" s="289"/>
      <c r="P40" s="279"/>
      <c r="Q40" s="308"/>
      <c r="R40" s="300"/>
      <c r="T40" s="291"/>
      <c r="U40" s="279"/>
      <c r="V40" s="289"/>
      <c r="W40" s="300"/>
      <c r="Z40" s="279"/>
      <c r="AA40" s="289"/>
      <c r="AC40" s="301"/>
      <c r="AE40" s="279"/>
      <c r="AF40" s="289"/>
      <c r="AH40" s="301"/>
      <c r="AJ40" s="279"/>
      <c r="AO40" s="279"/>
      <c r="AP40" s="289"/>
      <c r="AT40" s="279"/>
      <c r="AU40" s="289"/>
      <c r="AY40" s="279"/>
      <c r="AZ40" s="289"/>
    </row>
    <row r="41" spans="2:70" s="280" customFormat="1" x14ac:dyDescent="0.25">
      <c r="B41" s="289"/>
      <c r="C41" s="300"/>
      <c r="E41" s="317"/>
      <c r="F41" s="279"/>
      <c r="G41" s="289"/>
      <c r="H41" s="300"/>
      <c r="J41" s="291"/>
      <c r="K41" s="279"/>
      <c r="L41" s="289"/>
      <c r="M41" s="300"/>
      <c r="O41" s="289"/>
      <c r="P41" s="279"/>
      <c r="Q41" s="308"/>
      <c r="R41" s="300"/>
      <c r="T41" s="291"/>
      <c r="U41" s="279"/>
      <c r="V41" s="289"/>
      <c r="W41" s="300"/>
      <c r="Z41" s="279"/>
      <c r="AA41" s="289"/>
      <c r="AC41" s="301"/>
      <c r="AE41" s="279"/>
      <c r="AF41" s="289"/>
      <c r="AH41" s="301"/>
      <c r="AJ41" s="279"/>
      <c r="AO41" s="279"/>
      <c r="AP41" s="289"/>
      <c r="AT41" s="279"/>
      <c r="AU41" s="289"/>
      <c r="AY41" s="279"/>
      <c r="AZ41" s="289"/>
    </row>
    <row r="42" spans="2:70" s="280" customFormat="1" x14ac:dyDescent="0.25">
      <c r="B42" s="289"/>
      <c r="C42" s="300"/>
      <c r="E42" s="317"/>
      <c r="F42" s="279"/>
      <c r="G42" s="289"/>
      <c r="H42" s="300"/>
      <c r="J42" s="291"/>
      <c r="K42" s="279"/>
      <c r="L42" s="289"/>
      <c r="M42" s="300"/>
      <c r="O42" s="289"/>
      <c r="P42" s="279"/>
      <c r="Q42" s="289"/>
      <c r="R42" s="300"/>
      <c r="T42" s="291"/>
      <c r="U42" s="279"/>
      <c r="V42" s="289"/>
      <c r="W42" s="300"/>
      <c r="Z42" s="279"/>
      <c r="AA42" s="289"/>
      <c r="AC42" s="301"/>
      <c r="AE42" s="279"/>
      <c r="AF42" s="289"/>
      <c r="AH42" s="301"/>
      <c r="AJ42" s="279"/>
      <c r="AO42" s="279"/>
      <c r="AP42" s="289"/>
      <c r="AT42" s="279"/>
      <c r="AU42" s="289"/>
      <c r="AY42" s="279"/>
      <c r="AZ42" s="289"/>
    </row>
    <row r="43" spans="2:70" s="280" customFormat="1" x14ac:dyDescent="0.25">
      <c r="B43" s="289"/>
      <c r="C43" s="318"/>
      <c r="D43" s="316">
        <f>SUM(D36:D42)</f>
        <v>500000</v>
      </c>
      <c r="E43" s="285" t="s">
        <v>472</v>
      </c>
      <c r="F43" s="279"/>
      <c r="G43" s="289"/>
      <c r="H43" s="318"/>
      <c r="I43" s="316">
        <f>SUM(I36:I42)</f>
        <v>2365.6188655664109</v>
      </c>
      <c r="J43" s="286" t="s">
        <v>472</v>
      </c>
      <c r="K43" s="279"/>
      <c r="L43" s="289"/>
      <c r="M43" s="318"/>
      <c r="N43" s="316">
        <f>SUM(N36:N42)</f>
        <v>50000</v>
      </c>
      <c r="O43" s="288" t="s">
        <v>472</v>
      </c>
      <c r="P43" s="279"/>
      <c r="Q43" s="289"/>
      <c r="R43" s="290">
        <f>R36+R37+R38</f>
        <v>16534</v>
      </c>
      <c r="S43" s="318">
        <f>S36</f>
        <v>16533</v>
      </c>
      <c r="T43" s="291"/>
      <c r="U43" s="279"/>
      <c r="V43" s="289"/>
      <c r="W43" s="290"/>
      <c r="X43" s="318">
        <f>SUM(X36:X42)</f>
        <v>16405.503378304722</v>
      </c>
      <c r="Y43" s="292" t="s">
        <v>472</v>
      </c>
      <c r="Z43" s="279"/>
      <c r="AA43" s="289"/>
      <c r="AB43" s="318"/>
      <c r="AC43" s="318">
        <f>SUM(AC36:AC42)</f>
        <v>1000</v>
      </c>
      <c r="AD43" s="292" t="s">
        <v>472</v>
      </c>
      <c r="AE43" s="279"/>
      <c r="AF43" s="289"/>
      <c r="AG43" s="318"/>
      <c r="AH43" s="316">
        <f>AH36</f>
        <v>1571</v>
      </c>
      <c r="AI43" s="292" t="s">
        <v>472</v>
      </c>
      <c r="AJ43" s="279"/>
      <c r="AO43" s="279"/>
      <c r="AP43" s="289"/>
      <c r="AT43" s="279"/>
      <c r="AU43" s="289"/>
      <c r="AY43" s="279"/>
      <c r="AZ43" s="289"/>
    </row>
    <row r="44" spans="2:70" s="280" customFormat="1" x14ac:dyDescent="0.25">
      <c r="B44" s="289"/>
      <c r="E44" s="317"/>
      <c r="F44" s="279"/>
      <c r="G44" s="289"/>
      <c r="J44" s="291"/>
      <c r="K44" s="279"/>
      <c r="L44" s="289"/>
      <c r="O44" s="289"/>
      <c r="P44" s="279"/>
      <c r="Q44" s="282"/>
      <c r="S44" s="328">
        <f>S43-R43</f>
        <v>-1</v>
      </c>
      <c r="T44" s="291"/>
      <c r="U44" s="279"/>
      <c r="V44" s="289"/>
      <c r="Z44" s="279"/>
      <c r="AA44" s="289"/>
      <c r="AE44" s="279"/>
      <c r="AF44" s="289"/>
      <c r="AJ44" s="279"/>
      <c r="AO44" s="279"/>
      <c r="AP44" s="289"/>
      <c r="AT44" s="279"/>
      <c r="AU44" s="289"/>
      <c r="AY44" s="279"/>
      <c r="AZ44" s="289"/>
    </row>
    <row r="45" spans="2:70" s="280" customFormat="1" x14ac:dyDescent="0.25">
      <c r="B45" s="289"/>
      <c r="E45" s="317"/>
      <c r="F45" s="279"/>
      <c r="G45" s="289"/>
      <c r="J45" s="291"/>
      <c r="K45" s="279"/>
      <c r="L45" s="289"/>
      <c r="O45" s="289"/>
      <c r="P45" s="279"/>
      <c r="Q45" s="282"/>
      <c r="S45" s="320"/>
      <c r="T45" s="291"/>
      <c r="U45" s="279"/>
      <c r="V45" s="289"/>
      <c r="Z45" s="279"/>
      <c r="AA45" s="289"/>
      <c r="AE45" s="279"/>
      <c r="AF45" s="289"/>
      <c r="AJ45" s="279"/>
      <c r="AO45" s="279"/>
      <c r="AP45" s="289"/>
      <c r="AT45" s="279"/>
      <c r="AU45" s="289"/>
      <c r="AY45" s="279"/>
      <c r="AZ45" s="289"/>
    </row>
    <row r="46" spans="2:70" s="280" customFormat="1" x14ac:dyDescent="0.25">
      <c r="B46" s="466" t="s">
        <v>494</v>
      </c>
      <c r="C46" s="467"/>
      <c r="D46" s="467"/>
      <c r="E46" s="468"/>
      <c r="F46" s="279"/>
      <c r="G46" s="466" t="s">
        <v>495</v>
      </c>
      <c r="H46" s="467"/>
      <c r="I46" s="467"/>
      <c r="J46" s="468"/>
      <c r="K46" s="279"/>
      <c r="L46" s="466" t="s">
        <v>496</v>
      </c>
      <c r="M46" s="467"/>
      <c r="N46" s="467"/>
      <c r="O46" s="468"/>
      <c r="P46" s="326"/>
      <c r="Q46" s="466" t="s">
        <v>497</v>
      </c>
      <c r="R46" s="467"/>
      <c r="S46" s="467"/>
      <c r="T46" s="468"/>
      <c r="U46" s="326"/>
      <c r="V46" s="466" t="s">
        <v>498</v>
      </c>
      <c r="W46" s="467"/>
      <c r="X46" s="467"/>
      <c r="Y46" s="468"/>
      <c r="Z46" s="326"/>
      <c r="AA46" s="466" t="s">
        <v>499</v>
      </c>
      <c r="AB46" s="467"/>
      <c r="AC46" s="467"/>
      <c r="AD46" s="468"/>
      <c r="AE46" s="279"/>
      <c r="AF46" s="466" t="s">
        <v>500</v>
      </c>
      <c r="AG46" s="467"/>
      <c r="AH46" s="467"/>
      <c r="AI46" s="468"/>
      <c r="AJ46" s="279"/>
      <c r="AK46" s="466" t="s">
        <v>501</v>
      </c>
      <c r="AL46" s="467"/>
      <c r="AM46" s="467"/>
      <c r="AN46" s="468"/>
      <c r="AO46" s="279"/>
      <c r="AP46" s="466" t="s">
        <v>502</v>
      </c>
      <c r="AQ46" s="467"/>
      <c r="AR46" s="467"/>
      <c r="AS46" s="468"/>
      <c r="AT46" s="279"/>
      <c r="AU46" s="466" t="s">
        <v>503</v>
      </c>
      <c r="AV46" s="467"/>
      <c r="AW46" s="467"/>
      <c r="AX46" s="468"/>
      <c r="AY46" s="279"/>
      <c r="AZ46" s="466" t="s">
        <v>504</v>
      </c>
      <c r="BA46" s="467"/>
      <c r="BB46" s="467"/>
      <c r="BC46" s="468"/>
      <c r="BE46" s="466" t="s">
        <v>505</v>
      </c>
      <c r="BF46" s="467"/>
      <c r="BG46" s="467"/>
      <c r="BH46" s="468"/>
      <c r="BJ46" s="466" t="s">
        <v>506</v>
      </c>
      <c r="BK46" s="467"/>
      <c r="BL46" s="467"/>
      <c r="BM46" s="468"/>
      <c r="BO46" s="466"/>
      <c r="BP46" s="467"/>
      <c r="BQ46" s="467"/>
      <c r="BR46" s="468"/>
    </row>
    <row r="47" spans="2:70" s="280" customFormat="1" x14ac:dyDescent="0.25">
      <c r="B47" s="288" t="s">
        <v>443</v>
      </c>
      <c r="C47" s="290">
        <v>1800</v>
      </c>
      <c r="D47" s="284">
        <f>C57</f>
        <v>6870</v>
      </c>
      <c r="E47" s="310" t="s">
        <v>507</v>
      </c>
      <c r="F47" s="279"/>
      <c r="G47" s="282" t="s">
        <v>434</v>
      </c>
      <c r="H47" s="283">
        <v>4480</v>
      </c>
      <c r="I47" s="280">
        <v>6672</v>
      </c>
      <c r="J47" s="310" t="s">
        <v>507</v>
      </c>
      <c r="K47" s="279"/>
      <c r="L47" s="282" t="s">
        <v>483</v>
      </c>
      <c r="M47" s="283">
        <v>12750</v>
      </c>
      <c r="N47" s="280">
        <v>20188</v>
      </c>
      <c r="O47" s="295" t="s">
        <v>507</v>
      </c>
      <c r="P47" s="279"/>
      <c r="Q47" s="293" t="s">
        <v>486</v>
      </c>
      <c r="R47" s="283">
        <v>2254.5</v>
      </c>
      <c r="S47" s="280">
        <v>2254.5</v>
      </c>
      <c r="T47" s="310" t="s">
        <v>508</v>
      </c>
      <c r="U47" s="279"/>
      <c r="V47" s="293" t="s">
        <v>486</v>
      </c>
      <c r="W47" s="283">
        <v>6262.5</v>
      </c>
      <c r="X47" s="280">
        <v>6262.5</v>
      </c>
      <c r="Y47" s="295" t="s">
        <v>509</v>
      </c>
      <c r="Z47" s="279"/>
      <c r="AA47" s="295" t="s">
        <v>470</v>
      </c>
      <c r="AB47" s="300">
        <v>10000</v>
      </c>
      <c r="AC47" s="280">
        <v>10000</v>
      </c>
      <c r="AD47" s="295" t="s">
        <v>507</v>
      </c>
      <c r="AE47" s="279"/>
      <c r="AF47" s="293" t="s">
        <v>470</v>
      </c>
      <c r="AG47" s="299">
        <v>15000</v>
      </c>
      <c r="AH47" s="284">
        <v>15000</v>
      </c>
      <c r="AI47" s="295" t="s">
        <v>507</v>
      </c>
      <c r="AJ47" s="279"/>
      <c r="AK47" s="305" t="s">
        <v>469</v>
      </c>
      <c r="AL47" s="283">
        <v>300</v>
      </c>
      <c r="AM47" s="284">
        <v>300</v>
      </c>
      <c r="AN47" s="295" t="s">
        <v>507</v>
      </c>
      <c r="AO47" s="279"/>
      <c r="AP47" s="293" t="s">
        <v>437</v>
      </c>
      <c r="AQ47" s="283">
        <v>9167</v>
      </c>
      <c r="AR47" s="284">
        <v>20434</v>
      </c>
      <c r="AS47" s="295" t="s">
        <v>507</v>
      </c>
      <c r="AT47" s="279"/>
      <c r="AU47" s="282">
        <v>6</v>
      </c>
      <c r="AV47" s="330">
        <v>1200</v>
      </c>
      <c r="AW47" s="284">
        <v>1200</v>
      </c>
      <c r="AX47" s="295" t="s">
        <v>507</v>
      </c>
      <c r="AY47" s="279"/>
      <c r="AZ47" s="293" t="s">
        <v>481</v>
      </c>
      <c r="BA47" s="283">
        <v>1087</v>
      </c>
      <c r="BB47" s="284">
        <v>3921</v>
      </c>
      <c r="BC47" s="295" t="s">
        <v>507</v>
      </c>
      <c r="BE47" s="282" t="s">
        <v>458</v>
      </c>
      <c r="BF47" s="283">
        <v>80</v>
      </c>
      <c r="BG47" s="284">
        <v>300</v>
      </c>
      <c r="BH47" s="295" t="s">
        <v>507</v>
      </c>
      <c r="BJ47" s="293" t="s">
        <v>470</v>
      </c>
      <c r="BK47" s="283">
        <v>8000</v>
      </c>
      <c r="BL47" s="284">
        <v>8000</v>
      </c>
      <c r="BM47" s="295" t="s">
        <v>507</v>
      </c>
      <c r="BO47" s="282"/>
      <c r="BP47" s="283"/>
      <c r="BQ47" s="284"/>
      <c r="BR47" s="295"/>
    </row>
    <row r="48" spans="2:70" s="280" customFormat="1" x14ac:dyDescent="0.25">
      <c r="B48" s="288" t="s">
        <v>443</v>
      </c>
      <c r="C48" s="300">
        <v>5070</v>
      </c>
      <c r="D48" s="303"/>
      <c r="E48" s="317"/>
      <c r="F48" s="279"/>
      <c r="G48" s="282" t="s">
        <v>453</v>
      </c>
      <c r="H48" s="299">
        <v>2192</v>
      </c>
      <c r="J48" s="291"/>
      <c r="K48" s="279"/>
      <c r="L48" s="282" t="s">
        <v>487</v>
      </c>
      <c r="M48" s="299">
        <v>7438</v>
      </c>
      <c r="O48" s="289"/>
      <c r="P48" s="279"/>
      <c r="Q48" s="289"/>
      <c r="R48" s="300"/>
      <c r="T48" s="291"/>
      <c r="U48" s="279"/>
      <c r="V48" s="289"/>
      <c r="W48" s="300"/>
      <c r="Z48" s="279"/>
      <c r="AA48" s="288"/>
      <c r="AB48" s="300"/>
      <c r="AE48" s="279"/>
      <c r="AF48" s="282"/>
      <c r="AG48" s="299"/>
      <c r="AH48" s="303"/>
      <c r="AJ48" s="279"/>
      <c r="AK48" s="305"/>
      <c r="AL48" s="299"/>
      <c r="AM48" s="303"/>
      <c r="AO48" s="279"/>
      <c r="AP48" s="293" t="s">
        <v>455</v>
      </c>
      <c r="AQ48" s="299">
        <v>11267</v>
      </c>
      <c r="AR48" s="303"/>
      <c r="AT48" s="279"/>
      <c r="AU48" s="282"/>
      <c r="AV48" s="299"/>
      <c r="AW48" s="303"/>
      <c r="AY48" s="279"/>
      <c r="AZ48" s="293" t="s">
        <v>484</v>
      </c>
      <c r="BA48" s="299">
        <v>597</v>
      </c>
      <c r="BB48" s="303"/>
      <c r="BE48" s="282" t="s">
        <v>458</v>
      </c>
      <c r="BF48" s="299">
        <v>220</v>
      </c>
      <c r="BG48" s="303"/>
      <c r="BJ48" s="282"/>
      <c r="BK48" s="299"/>
      <c r="BL48" s="303"/>
      <c r="BO48" s="282"/>
      <c r="BP48" s="299"/>
      <c r="BQ48" s="303"/>
    </row>
    <row r="49" spans="1:70" x14ac:dyDescent="0.25">
      <c r="C49" s="300"/>
      <c r="D49" s="304"/>
      <c r="G49" s="282"/>
      <c r="H49" s="331"/>
      <c r="L49" s="282"/>
      <c r="M49" s="299"/>
      <c r="R49" s="300"/>
      <c r="W49" s="300"/>
      <c r="AB49" s="300"/>
      <c r="AG49" s="300"/>
      <c r="AH49" s="304"/>
      <c r="AL49" s="300"/>
      <c r="AM49" s="304"/>
      <c r="AQ49" s="300"/>
      <c r="AR49" s="304"/>
      <c r="AV49" s="300"/>
      <c r="AW49" s="304"/>
      <c r="AZ49" s="296" t="s">
        <v>447</v>
      </c>
      <c r="BA49" s="404">
        <v>600</v>
      </c>
      <c r="BB49" s="304"/>
      <c r="BE49" s="289"/>
      <c r="BF49" s="300"/>
      <c r="BG49" s="304"/>
      <c r="BJ49" s="289"/>
      <c r="BK49" s="300"/>
      <c r="BL49" s="304"/>
      <c r="BO49" s="289"/>
      <c r="BP49" s="300"/>
      <c r="BQ49" s="304"/>
    </row>
    <row r="50" spans="1:70" x14ac:dyDescent="0.25">
      <c r="C50" s="300"/>
      <c r="H50" s="300"/>
      <c r="M50" s="300"/>
      <c r="R50" s="300"/>
      <c r="W50" s="300"/>
      <c r="AB50" s="300"/>
      <c r="AG50" s="300"/>
      <c r="AL50" s="300"/>
      <c r="AQ50" s="300"/>
      <c r="AV50" s="300"/>
      <c r="AZ50" s="295" t="s">
        <v>445</v>
      </c>
      <c r="BA50" s="404">
        <v>200</v>
      </c>
      <c r="BE50" s="289"/>
      <c r="BF50" s="300"/>
      <c r="BJ50" s="289"/>
      <c r="BK50" s="300"/>
      <c r="BO50" s="289"/>
      <c r="BP50" s="300"/>
    </row>
    <row r="51" spans="1:70" x14ac:dyDescent="0.25">
      <c r="C51" s="300"/>
      <c r="H51" s="300"/>
      <c r="M51" s="300"/>
      <c r="R51" s="300"/>
      <c r="W51" s="300"/>
      <c r="AB51" s="300"/>
      <c r="AG51" s="300"/>
      <c r="AL51" s="300"/>
      <c r="AQ51" s="300"/>
      <c r="AV51" s="300"/>
      <c r="AZ51" s="295" t="s">
        <v>461</v>
      </c>
      <c r="BA51" s="404">
        <v>400</v>
      </c>
      <c r="BE51" s="289"/>
      <c r="BF51" s="300"/>
      <c r="BJ51" s="289"/>
      <c r="BK51" s="300"/>
      <c r="BO51" s="289"/>
      <c r="BP51" s="300"/>
    </row>
    <row r="52" spans="1:70" x14ac:dyDescent="0.25">
      <c r="C52" s="300"/>
      <c r="H52" s="300"/>
      <c r="M52" s="300"/>
      <c r="R52" s="300"/>
      <c r="W52" s="300"/>
      <c r="AB52" s="300"/>
      <c r="AG52" s="300"/>
      <c r="AL52" s="300"/>
      <c r="AQ52" s="300"/>
      <c r="AV52" s="300"/>
      <c r="AZ52" s="288" t="s">
        <v>460</v>
      </c>
      <c r="BA52" s="405">
        <v>400</v>
      </c>
      <c r="BE52" s="289"/>
      <c r="BF52" s="300"/>
      <c r="BJ52" s="289"/>
      <c r="BK52" s="300"/>
      <c r="BO52" s="289"/>
      <c r="BP52" s="300"/>
    </row>
    <row r="53" spans="1:70" x14ac:dyDescent="0.25">
      <c r="C53" s="300"/>
      <c r="H53" s="300"/>
      <c r="M53" s="300"/>
      <c r="R53" s="300"/>
      <c r="W53" s="300"/>
      <c r="AB53" s="300"/>
      <c r="AG53" s="300"/>
      <c r="AL53" s="300"/>
      <c r="AQ53" s="300"/>
      <c r="AV53" s="300"/>
      <c r="AZ53" s="295" t="s">
        <v>454</v>
      </c>
      <c r="BA53" s="300">
        <v>637</v>
      </c>
      <c r="BE53" s="289"/>
      <c r="BF53" s="300"/>
      <c r="BJ53" s="289"/>
      <c r="BK53" s="300"/>
      <c r="BO53" s="289"/>
      <c r="BP53" s="300"/>
    </row>
    <row r="54" spans="1:70" x14ac:dyDescent="0.25">
      <c r="C54" s="300"/>
      <c r="H54" s="300"/>
      <c r="M54" s="300"/>
      <c r="R54" s="300"/>
      <c r="W54" s="300"/>
      <c r="AB54" s="300"/>
      <c r="AG54" s="300"/>
      <c r="AL54" s="300"/>
      <c r="AQ54" s="300"/>
      <c r="AV54" s="300"/>
      <c r="AZ54" s="302"/>
      <c r="BA54" s="300"/>
      <c r="BE54" s="289"/>
      <c r="BF54" s="300"/>
      <c r="BJ54" s="289"/>
      <c r="BK54" s="300"/>
      <c r="BO54" s="289"/>
      <c r="BP54" s="300"/>
    </row>
    <row r="55" spans="1:70" x14ac:dyDescent="0.25">
      <c r="C55" s="300"/>
      <c r="H55" s="300"/>
      <c r="M55" s="300"/>
      <c r="R55" s="300"/>
      <c r="W55" s="300"/>
      <c r="AB55" s="300"/>
      <c r="AG55" s="300"/>
      <c r="AL55" s="300"/>
      <c r="AQ55" s="300"/>
      <c r="AV55" s="300"/>
      <c r="AZ55" s="302"/>
      <c r="BA55" s="300"/>
      <c r="BE55" s="289"/>
      <c r="BF55" s="300"/>
      <c r="BJ55" s="289"/>
      <c r="BK55" s="300"/>
      <c r="BO55" s="289"/>
      <c r="BP55" s="300"/>
    </row>
    <row r="56" spans="1:70" x14ac:dyDescent="0.25">
      <c r="C56" s="300"/>
      <c r="H56" s="300"/>
      <c r="M56" s="300"/>
      <c r="R56" s="300"/>
      <c r="W56" s="300"/>
      <c r="AB56" s="300"/>
      <c r="AG56" s="300"/>
      <c r="AL56" s="300"/>
      <c r="AQ56" s="300"/>
      <c r="AV56" s="300"/>
      <c r="AZ56" s="302"/>
      <c r="BA56" s="300"/>
      <c r="BE56" s="289"/>
      <c r="BF56" s="300"/>
      <c r="BJ56" s="289"/>
      <c r="BK56" s="300"/>
      <c r="BO56" s="289"/>
      <c r="BP56" s="300"/>
    </row>
    <row r="57" spans="1:70" x14ac:dyDescent="0.25">
      <c r="C57" s="290">
        <f>C47+C48</f>
        <v>6870</v>
      </c>
      <c r="D57" s="318">
        <f>D47</f>
        <v>6870</v>
      </c>
      <c r="H57" s="290">
        <f>SUM(H47:H56)</f>
        <v>6672</v>
      </c>
      <c r="I57" s="318">
        <f>SUM(I47:I56)</f>
        <v>6672</v>
      </c>
      <c r="J57" s="332"/>
      <c r="M57" s="290">
        <f>SUM(M47:M56)</f>
        <v>20188</v>
      </c>
      <c r="N57" s="318">
        <f>SUM(N47:N56)</f>
        <v>20188</v>
      </c>
      <c r="O57" s="333"/>
      <c r="R57" s="290">
        <f>SUM(R47:R56)</f>
        <v>2254.5</v>
      </c>
      <c r="S57" s="318">
        <f>SUM(S47:S56)</f>
        <v>2254.5</v>
      </c>
      <c r="T57" s="332"/>
      <c r="W57" s="290">
        <f>SUM(W47:W56)</f>
        <v>6262.5</v>
      </c>
      <c r="X57" s="318">
        <f>SUM(X47:X56)</f>
        <v>6262.5</v>
      </c>
      <c r="Y57" s="304"/>
      <c r="AB57" s="290">
        <f>SUM(AB47:AB56)</f>
        <v>10000</v>
      </c>
      <c r="AC57" s="318">
        <f>SUM(AC47:AC56)</f>
        <v>10000</v>
      </c>
      <c r="AD57" s="334"/>
      <c r="AG57" s="290">
        <f>SUM(AG47:AG56)</f>
        <v>15000</v>
      </c>
      <c r="AH57" s="318">
        <f>SUM(AH47:AH56)</f>
        <v>15000</v>
      </c>
      <c r="AL57" s="290">
        <f>SUM(AL47:AL56)</f>
        <v>300</v>
      </c>
      <c r="AM57" s="318">
        <f>SUM(AM47:AM56)</f>
        <v>300</v>
      </c>
      <c r="AN57" s="320"/>
      <c r="AQ57" s="290">
        <f>AQ47+AQ48</f>
        <v>20434</v>
      </c>
      <c r="AR57" s="318">
        <f>SUM(AR47:AR56)</f>
        <v>20434</v>
      </c>
      <c r="AS57" s="335"/>
      <c r="AV57" s="290">
        <f>SUM(AV47:AV56)</f>
        <v>1200</v>
      </c>
      <c r="AW57" s="318">
        <f>SUM(AW47:AW56)</f>
        <v>1200</v>
      </c>
      <c r="AX57" s="320"/>
      <c r="BA57" s="290">
        <f>BA47+BA48+BA49+BA50+BA51+BA53+BA52</f>
        <v>3921</v>
      </c>
      <c r="BB57" s="318">
        <f>BB47</f>
        <v>3921</v>
      </c>
      <c r="BC57" s="320"/>
      <c r="BE57" s="289"/>
      <c r="BF57" s="290">
        <f>SUM(BF47:BF56)</f>
        <v>300</v>
      </c>
      <c r="BG57" s="318">
        <f>SUM(BG47:BG56)</f>
        <v>300</v>
      </c>
      <c r="BH57" s="292"/>
      <c r="BJ57" s="289"/>
      <c r="BK57" s="290">
        <f>SUM(BK47:BK56)</f>
        <v>8000</v>
      </c>
      <c r="BL57" s="318">
        <f>SUM(BL47:BL56)</f>
        <v>8000</v>
      </c>
      <c r="BM57" s="292"/>
      <c r="BO57" s="289"/>
      <c r="BP57" s="290">
        <f>SUM(BP47:BP56)</f>
        <v>0</v>
      </c>
      <c r="BQ57" s="318">
        <f>SUM(BQ47:BQ56)</f>
        <v>0</v>
      </c>
      <c r="BR57" s="292"/>
    </row>
    <row r="58" spans="1:70" s="320" customFormat="1" x14ac:dyDescent="0.25">
      <c r="A58" s="326"/>
      <c r="B58" s="327"/>
      <c r="C58" s="336">
        <f>C57-D57</f>
        <v>0</v>
      </c>
      <c r="E58" s="337"/>
      <c r="F58" s="326"/>
      <c r="G58" s="327"/>
      <c r="H58" s="336">
        <f>H57-I57</f>
        <v>0</v>
      </c>
      <c r="J58" s="325"/>
      <c r="K58" s="326"/>
      <c r="L58" s="327"/>
      <c r="M58" s="336">
        <f>M57-N57</f>
        <v>0</v>
      </c>
      <c r="O58" s="327"/>
      <c r="P58" s="326"/>
      <c r="Q58" s="327"/>
      <c r="R58" s="336">
        <f>R57-S57</f>
        <v>0</v>
      </c>
      <c r="T58" s="325"/>
      <c r="U58" s="326"/>
      <c r="V58" s="327"/>
      <c r="W58" s="336">
        <f>W57-X57</f>
        <v>0</v>
      </c>
      <c r="Z58" s="326"/>
      <c r="AA58" s="327"/>
      <c r="AB58" s="336">
        <f>AB57-AC57</f>
        <v>0</v>
      </c>
      <c r="AE58" s="326"/>
      <c r="AF58" s="327"/>
      <c r="AG58" s="320">
        <f>AG57-AH57</f>
        <v>0</v>
      </c>
      <c r="AJ58" s="326"/>
      <c r="AL58" s="320">
        <f>AL57-AM57</f>
        <v>0</v>
      </c>
      <c r="AO58" s="326"/>
      <c r="AP58" s="327"/>
      <c r="AQ58" s="336">
        <f>AQ57-AR57</f>
        <v>0</v>
      </c>
      <c r="AT58" s="326"/>
      <c r="AU58" s="327"/>
      <c r="AV58" s="320">
        <f>AV57-AW57</f>
        <v>0</v>
      </c>
      <c r="AY58" s="326"/>
      <c r="AZ58" s="327"/>
      <c r="BA58" s="320">
        <f>BA57-BB57</f>
        <v>0</v>
      </c>
      <c r="BE58" s="327"/>
      <c r="BF58" s="320">
        <f>BF57-BG57</f>
        <v>0</v>
      </c>
      <c r="BJ58" s="327"/>
      <c r="BK58" s="320">
        <f>BK57-BL57</f>
        <v>0</v>
      </c>
      <c r="BO58" s="327"/>
      <c r="BP58" s="320">
        <f>BP57-BQ57</f>
        <v>0</v>
      </c>
    </row>
    <row r="59" spans="1:70" s="320" customFormat="1" x14ac:dyDescent="0.25">
      <c r="A59" s="326"/>
      <c r="B59" s="327"/>
      <c r="E59" s="337"/>
      <c r="F59" s="326"/>
      <c r="G59" s="327"/>
      <c r="J59" s="325"/>
      <c r="K59" s="326"/>
      <c r="L59" s="327"/>
      <c r="O59" s="327"/>
      <c r="P59" s="326"/>
      <c r="Q59" s="327"/>
      <c r="T59" s="325"/>
      <c r="U59" s="326"/>
      <c r="V59" s="327"/>
      <c r="Z59" s="326"/>
      <c r="AA59" s="327"/>
      <c r="AE59" s="326"/>
      <c r="AF59" s="327"/>
      <c r="AJ59" s="326"/>
      <c r="AO59" s="326"/>
      <c r="AP59" s="327"/>
      <c r="AS59" s="338"/>
      <c r="AT59" s="326"/>
      <c r="AU59" s="327"/>
      <c r="AY59" s="326"/>
      <c r="AZ59" s="327"/>
    </row>
    <row r="60" spans="1:70" x14ac:dyDescent="0.25">
      <c r="B60" s="476" t="s">
        <v>510</v>
      </c>
      <c r="C60" s="477"/>
      <c r="D60" s="477"/>
      <c r="E60" s="478"/>
      <c r="F60" s="326"/>
      <c r="G60" s="476" t="s">
        <v>176</v>
      </c>
      <c r="H60" s="477"/>
      <c r="I60" s="477"/>
      <c r="J60" s="478"/>
      <c r="K60" s="326"/>
      <c r="L60" s="476"/>
      <c r="M60" s="477"/>
      <c r="N60" s="477"/>
      <c r="O60" s="478"/>
      <c r="P60" s="326"/>
      <c r="Q60" s="476"/>
      <c r="R60" s="477"/>
      <c r="S60" s="477"/>
      <c r="T60" s="478"/>
      <c r="U60" s="326"/>
      <c r="V60" s="476"/>
      <c r="W60" s="477"/>
      <c r="X60" s="477"/>
      <c r="Y60" s="478"/>
    </row>
    <row r="61" spans="1:70" x14ac:dyDescent="0.25">
      <c r="B61" s="295" t="s">
        <v>511</v>
      </c>
      <c r="C61" s="290">
        <v>98127</v>
      </c>
      <c r="D61" s="284">
        <v>63095</v>
      </c>
      <c r="E61" s="285">
        <v>2</v>
      </c>
      <c r="G61" s="295" t="s">
        <v>511</v>
      </c>
      <c r="H61" s="290">
        <v>19808</v>
      </c>
      <c r="I61" s="284">
        <v>11905</v>
      </c>
      <c r="J61" s="310" t="s">
        <v>441</v>
      </c>
      <c r="M61" s="290"/>
      <c r="R61" s="290"/>
      <c r="W61" s="290"/>
    </row>
    <row r="62" spans="1:70" x14ac:dyDescent="0.25">
      <c r="C62" s="300"/>
      <c r="D62" s="284">
        <v>35032</v>
      </c>
      <c r="E62" s="285">
        <v>5</v>
      </c>
      <c r="H62" s="300"/>
      <c r="I62" s="284">
        <v>4603</v>
      </c>
      <c r="J62" s="310" t="s">
        <v>456</v>
      </c>
      <c r="M62" s="300"/>
      <c r="R62" s="300"/>
      <c r="W62" s="300"/>
    </row>
    <row r="63" spans="1:70" x14ac:dyDescent="0.25">
      <c r="C63" s="300"/>
      <c r="D63" s="303"/>
      <c r="E63" s="285"/>
      <c r="H63" s="300"/>
      <c r="I63" s="401">
        <v>300</v>
      </c>
      <c r="J63" s="339" t="s">
        <v>459</v>
      </c>
      <c r="M63" s="300"/>
      <c r="R63" s="300"/>
      <c r="W63" s="300"/>
    </row>
    <row r="64" spans="1:70" x14ac:dyDescent="0.25">
      <c r="C64" s="304"/>
      <c r="D64" s="301"/>
      <c r="H64" s="300"/>
      <c r="I64" s="401">
        <v>2000</v>
      </c>
      <c r="J64" s="340" t="s">
        <v>462</v>
      </c>
      <c r="M64" s="300"/>
      <c r="R64" s="300"/>
      <c r="W64" s="300"/>
    </row>
    <row r="65" spans="1:53" x14ac:dyDescent="0.25">
      <c r="C65" s="300"/>
      <c r="D65" s="304"/>
      <c r="H65" s="300"/>
      <c r="I65" s="402">
        <v>200</v>
      </c>
      <c r="J65" s="310" t="s">
        <v>466</v>
      </c>
      <c r="M65" s="300"/>
      <c r="R65" s="300"/>
      <c r="W65" s="300"/>
    </row>
    <row r="66" spans="1:53" x14ac:dyDescent="0.25">
      <c r="A66" s="280"/>
      <c r="C66" s="300"/>
      <c r="H66" s="300"/>
      <c r="I66" s="403">
        <v>800</v>
      </c>
      <c r="J66" s="286" t="s">
        <v>460</v>
      </c>
      <c r="M66" s="300"/>
      <c r="R66" s="300"/>
      <c r="W66" s="300"/>
      <c r="Z66" s="280"/>
      <c r="AE66" s="280"/>
      <c r="AJ66" s="280"/>
      <c r="AO66" s="280"/>
      <c r="AT66" s="280"/>
      <c r="AY66" s="280"/>
      <c r="BA66" s="289"/>
    </row>
    <row r="67" spans="1:53" x14ac:dyDescent="0.25">
      <c r="A67" s="280"/>
      <c r="C67" s="290">
        <f>SUM(C61:C66)</f>
        <v>98127</v>
      </c>
      <c r="D67" s="318">
        <f>SUM(D61:D66)</f>
        <v>98127</v>
      </c>
      <c r="H67" s="290">
        <f>H61</f>
        <v>19808</v>
      </c>
      <c r="I67" s="318">
        <f>SUM(I61:I66)</f>
        <v>19808</v>
      </c>
      <c r="M67" s="290"/>
      <c r="N67" s="318"/>
      <c r="R67" s="290"/>
      <c r="S67" s="318"/>
      <c r="W67" s="300"/>
      <c r="Z67" s="280"/>
      <c r="AE67" s="280"/>
      <c r="AJ67" s="280"/>
      <c r="AO67" s="280"/>
      <c r="AT67" s="280"/>
      <c r="AY67" s="280"/>
    </row>
    <row r="68" spans="1:53" x14ac:dyDescent="0.25">
      <c r="A68" s="280"/>
      <c r="B68" s="308"/>
      <c r="C68" s="336">
        <f>D67-C67</f>
        <v>0</v>
      </c>
      <c r="D68" s="320"/>
      <c r="G68" s="288"/>
      <c r="H68" s="300">
        <f>H67-I67</f>
        <v>0</v>
      </c>
      <c r="Z68" s="280"/>
      <c r="AE68" s="280"/>
      <c r="AJ68" s="280"/>
      <c r="AO68" s="280"/>
      <c r="AT68" s="280"/>
      <c r="AY68" s="280"/>
    </row>
    <row r="69" spans="1:53" x14ac:dyDescent="0.25">
      <c r="H69" s="300"/>
    </row>
    <row r="70" spans="1:53" x14ac:dyDescent="0.25">
      <c r="A70" s="280"/>
      <c r="B70" s="472" t="s">
        <v>512</v>
      </c>
      <c r="C70" s="473"/>
      <c r="D70" s="474"/>
      <c r="E70" s="475"/>
      <c r="Z70" s="280"/>
      <c r="AE70" s="280"/>
      <c r="AJ70" s="280"/>
      <c r="AO70" s="280"/>
      <c r="AT70" s="280"/>
      <c r="AY70" s="280"/>
    </row>
    <row r="71" spans="1:53" x14ac:dyDescent="0.25">
      <c r="A71" s="280"/>
      <c r="B71" s="293" t="s">
        <v>507</v>
      </c>
      <c r="C71" s="341">
        <f>I47</f>
        <v>6672</v>
      </c>
      <c r="D71" s="298">
        <f>C61</f>
        <v>98127</v>
      </c>
      <c r="E71" s="310" t="s">
        <v>511</v>
      </c>
      <c r="Z71" s="280"/>
      <c r="AE71" s="280"/>
      <c r="AJ71" s="280"/>
      <c r="AO71" s="280"/>
      <c r="AT71" s="280"/>
      <c r="AY71" s="280"/>
    </row>
    <row r="72" spans="1:53" x14ac:dyDescent="0.25">
      <c r="A72" s="280"/>
      <c r="B72" s="293" t="s">
        <v>507</v>
      </c>
      <c r="C72" s="342">
        <f>N47</f>
        <v>20188</v>
      </c>
      <c r="D72" s="301">
        <f>H61</f>
        <v>19808</v>
      </c>
      <c r="E72" s="310" t="s">
        <v>511</v>
      </c>
      <c r="Z72" s="280"/>
      <c r="AE72" s="280"/>
      <c r="AJ72" s="280"/>
      <c r="AO72" s="280"/>
      <c r="AT72" s="280"/>
      <c r="AY72" s="280"/>
    </row>
    <row r="73" spans="1:53" x14ac:dyDescent="0.25">
      <c r="A73" s="280"/>
      <c r="B73" s="293" t="s">
        <v>507</v>
      </c>
      <c r="C73" s="343">
        <f>AC47</f>
        <v>10000</v>
      </c>
      <c r="D73" s="306"/>
      <c r="E73" s="285"/>
      <c r="Z73" s="280"/>
      <c r="AE73" s="280"/>
      <c r="AJ73" s="280"/>
      <c r="AO73" s="280"/>
      <c r="AT73" s="280"/>
      <c r="AY73" s="280"/>
    </row>
    <row r="74" spans="1:53" x14ac:dyDescent="0.25">
      <c r="A74" s="280"/>
      <c r="B74" s="293" t="s">
        <v>507</v>
      </c>
      <c r="C74" s="343">
        <f>AH47</f>
        <v>15000</v>
      </c>
      <c r="D74" s="306"/>
      <c r="E74" s="285"/>
      <c r="Z74" s="280"/>
      <c r="AE74" s="280"/>
      <c r="AJ74" s="280"/>
      <c r="AO74" s="280"/>
      <c r="AT74" s="280"/>
      <c r="AY74" s="280"/>
    </row>
    <row r="75" spans="1:53" x14ac:dyDescent="0.25">
      <c r="A75" s="280"/>
      <c r="B75" s="293" t="s">
        <v>507</v>
      </c>
      <c r="C75" s="343">
        <f>BL47</f>
        <v>8000</v>
      </c>
      <c r="D75" s="306"/>
      <c r="E75" s="285"/>
      <c r="Z75" s="280"/>
      <c r="AE75" s="280"/>
      <c r="AJ75" s="280"/>
      <c r="AO75" s="280"/>
      <c r="AT75" s="280"/>
      <c r="AY75" s="280"/>
    </row>
    <row r="76" spans="1:53" x14ac:dyDescent="0.25">
      <c r="A76" s="280"/>
      <c r="B76" s="293" t="s">
        <v>507</v>
      </c>
      <c r="C76" s="343">
        <f>D47</f>
        <v>6870</v>
      </c>
      <c r="D76" s="306"/>
      <c r="E76" s="285"/>
      <c r="Z76" s="280"/>
      <c r="AE76" s="280"/>
      <c r="AJ76" s="280"/>
      <c r="AO76" s="280"/>
      <c r="AT76" s="280"/>
      <c r="AY76" s="280"/>
    </row>
    <row r="77" spans="1:53" x14ac:dyDescent="0.25">
      <c r="A77" s="280"/>
      <c r="B77" s="293" t="s">
        <v>507</v>
      </c>
      <c r="C77" s="342">
        <f>AM47</f>
        <v>300</v>
      </c>
      <c r="D77" s="306"/>
      <c r="E77" s="285"/>
      <c r="Z77" s="280"/>
      <c r="AE77" s="280"/>
      <c r="AJ77" s="280"/>
      <c r="AO77" s="280"/>
      <c r="AT77" s="280"/>
      <c r="AY77" s="280"/>
    </row>
    <row r="78" spans="1:53" x14ac:dyDescent="0.25">
      <c r="A78" s="280"/>
      <c r="B78" s="293" t="s">
        <v>507</v>
      </c>
      <c r="C78" s="342">
        <f>AR47</f>
        <v>20434</v>
      </c>
      <c r="D78" s="306"/>
      <c r="E78" s="285"/>
      <c r="Z78" s="280"/>
      <c r="AE78" s="280"/>
      <c r="AJ78" s="280"/>
      <c r="AO78" s="280"/>
      <c r="AT78" s="280"/>
      <c r="AY78" s="280"/>
    </row>
    <row r="79" spans="1:53" x14ac:dyDescent="0.25">
      <c r="A79" s="280"/>
      <c r="B79" s="293" t="s">
        <v>507</v>
      </c>
      <c r="C79" s="342">
        <f>AW47</f>
        <v>1200</v>
      </c>
      <c r="D79" s="306"/>
      <c r="E79" s="285"/>
      <c r="Z79" s="280"/>
      <c r="AE79" s="280"/>
      <c r="AJ79" s="280"/>
      <c r="AO79" s="280"/>
      <c r="AT79" s="280"/>
      <c r="AY79" s="280"/>
    </row>
    <row r="80" spans="1:53" x14ac:dyDescent="0.25">
      <c r="A80" s="280"/>
      <c r="B80" s="293" t="s">
        <v>507</v>
      </c>
      <c r="C80" s="342">
        <f>BB47</f>
        <v>3921</v>
      </c>
      <c r="D80" s="306"/>
      <c r="E80" s="285"/>
      <c r="Z80" s="280"/>
      <c r="AE80" s="280"/>
      <c r="AJ80" s="280"/>
      <c r="AO80" s="280"/>
      <c r="AT80" s="280"/>
      <c r="AY80" s="280"/>
    </row>
    <row r="81" spans="1:51" x14ac:dyDescent="0.25">
      <c r="A81" s="280"/>
      <c r="B81" s="293" t="s">
        <v>507</v>
      </c>
      <c r="C81" s="342">
        <f>BG47</f>
        <v>300</v>
      </c>
      <c r="D81" s="306"/>
      <c r="E81" s="285"/>
      <c r="Z81" s="280"/>
      <c r="AE81" s="280"/>
      <c r="AJ81" s="280"/>
      <c r="AO81" s="280"/>
      <c r="AT81" s="280"/>
      <c r="AY81" s="280"/>
    </row>
    <row r="82" spans="1:51" x14ac:dyDescent="0.25">
      <c r="A82" s="280"/>
      <c r="C82" s="344">
        <f>SUM(C71:C81)</f>
        <v>92885</v>
      </c>
      <c r="D82" s="345">
        <f>SUM(D71:D81)</f>
        <v>117935</v>
      </c>
      <c r="E82" s="285"/>
      <c r="Z82" s="280"/>
      <c r="AE82" s="280"/>
      <c r="AJ82" s="280"/>
      <c r="AO82" s="280"/>
      <c r="AT82" s="280"/>
      <c r="AY82" s="280"/>
    </row>
    <row r="83" spans="1:51" x14ac:dyDescent="0.25">
      <c r="A83" s="280"/>
      <c r="B83" s="288" t="s">
        <v>513</v>
      </c>
      <c r="C83" s="290">
        <f>D83*0.25</f>
        <v>6262.5</v>
      </c>
      <c r="D83" s="316">
        <f>D82-C82</f>
        <v>25050</v>
      </c>
      <c r="Z83" s="280"/>
      <c r="AE83" s="280"/>
      <c r="AJ83" s="280"/>
      <c r="AO83" s="280"/>
      <c r="AT83" s="280"/>
      <c r="AY83" s="280"/>
    </row>
    <row r="84" spans="1:51" x14ac:dyDescent="0.25">
      <c r="A84" s="280"/>
      <c r="B84" s="288" t="s">
        <v>514</v>
      </c>
      <c r="C84" s="300">
        <f>D83*0.09</f>
        <v>2254.5</v>
      </c>
      <c r="F84" s="280"/>
      <c r="K84" s="280"/>
      <c r="P84" s="280"/>
      <c r="U84" s="280"/>
      <c r="Z84" s="280"/>
      <c r="AE84" s="280"/>
      <c r="AJ84" s="280"/>
      <c r="AO84" s="280"/>
      <c r="AT84" s="280"/>
      <c r="AY84" s="280"/>
    </row>
    <row r="85" spans="1:51" x14ac:dyDescent="0.25">
      <c r="A85" s="280"/>
      <c r="C85" s="346">
        <f>SUM(C83:C84)</f>
        <v>8517</v>
      </c>
      <c r="D85" s="347">
        <f>SUM(D83:D84)</f>
        <v>25050</v>
      </c>
      <c r="F85" s="280"/>
      <c r="K85" s="280"/>
      <c r="P85" s="280"/>
      <c r="U85" s="280"/>
      <c r="Z85" s="280"/>
      <c r="AE85" s="280"/>
      <c r="AJ85" s="280"/>
      <c r="AO85" s="280"/>
      <c r="AT85" s="280"/>
      <c r="AY85" s="280"/>
    </row>
    <row r="86" spans="1:51" x14ac:dyDescent="0.25">
      <c r="A86" s="280"/>
      <c r="B86" s="294" t="s">
        <v>491</v>
      </c>
      <c r="C86" s="348">
        <f>D86</f>
        <v>16533</v>
      </c>
      <c r="D86" s="347">
        <f>D85-C85</f>
        <v>16533</v>
      </c>
      <c r="F86" s="280"/>
      <c r="K86" s="280"/>
      <c r="P86" s="280"/>
      <c r="U86" s="280"/>
      <c r="Z86" s="280"/>
      <c r="AE86" s="280"/>
      <c r="AJ86" s="280"/>
      <c r="AO86" s="280"/>
      <c r="AT86" s="280"/>
      <c r="AY86" s="280"/>
    </row>
  </sheetData>
  <mergeCells count="56">
    <mergeCell ref="B70:E70"/>
    <mergeCell ref="BJ46:BM46"/>
    <mergeCell ref="BO46:BR46"/>
    <mergeCell ref="B60:E60"/>
    <mergeCell ref="G60:J60"/>
    <mergeCell ref="L60:O60"/>
    <mergeCell ref="Q60:T60"/>
    <mergeCell ref="V60:Y60"/>
    <mergeCell ref="AF46:AI46"/>
    <mergeCell ref="AK46:AN46"/>
    <mergeCell ref="AP46:AS46"/>
    <mergeCell ref="AU46:AX46"/>
    <mergeCell ref="AZ46:BC46"/>
    <mergeCell ref="BE46:BH46"/>
    <mergeCell ref="B46:E46"/>
    <mergeCell ref="G46:J46"/>
    <mergeCell ref="L46:O46"/>
    <mergeCell ref="Q46:T46"/>
    <mergeCell ref="V46:Y46"/>
    <mergeCell ref="AA46:AD46"/>
    <mergeCell ref="AU24:AX24"/>
    <mergeCell ref="AA35:AD35"/>
    <mergeCell ref="AF35:AI35"/>
    <mergeCell ref="B35:E35"/>
    <mergeCell ref="G35:J35"/>
    <mergeCell ref="L35:O35"/>
    <mergeCell ref="Q35:T35"/>
    <mergeCell ref="V35:Y35"/>
    <mergeCell ref="CN2:CQ2"/>
    <mergeCell ref="B24:E24"/>
    <mergeCell ref="G24:J24"/>
    <mergeCell ref="L24:O24"/>
    <mergeCell ref="Q24:T24"/>
    <mergeCell ref="V24:Y24"/>
    <mergeCell ref="AA24:AD24"/>
    <mergeCell ref="AF24:AI24"/>
    <mergeCell ref="AK24:AN24"/>
    <mergeCell ref="AP24:AS24"/>
    <mergeCell ref="BJ2:BM2"/>
    <mergeCell ref="BO2:BR2"/>
    <mergeCell ref="BT2:BW2"/>
    <mergeCell ref="BY2:CB2"/>
    <mergeCell ref="CD2:CG2"/>
    <mergeCell ref="CI2:CL2"/>
    <mergeCell ref="BE2:BH2"/>
    <mergeCell ref="B2:E2"/>
    <mergeCell ref="G2:J2"/>
    <mergeCell ref="L2:O2"/>
    <mergeCell ref="Q2:T2"/>
    <mergeCell ref="V2:Y2"/>
    <mergeCell ref="AA2:AD2"/>
    <mergeCell ref="AF2:AI2"/>
    <mergeCell ref="AK2:AN2"/>
    <mergeCell ref="AP2:AS2"/>
    <mergeCell ref="AU2:AX2"/>
    <mergeCell ref="AZ2:B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BP 2013  </vt:lpstr>
      <vt:lpstr>Lançamentos</vt:lpstr>
      <vt:lpstr>Ações </vt:lpstr>
      <vt:lpstr>FC PT 1 </vt:lpstr>
      <vt:lpstr>FC PT 2 </vt:lpstr>
      <vt:lpstr>FC PT 3</vt:lpstr>
      <vt:lpstr>FC PT 4</vt:lpstr>
      <vt:lpstr>EST x2 Chocolate</vt:lpstr>
      <vt:lpstr>Raz x1 </vt:lpstr>
      <vt:lpstr>DRE 2013</vt:lpstr>
      <vt:lpstr>RESERVAS e DIVIDENDOS 2013</vt:lpstr>
      <vt:lpstr>DRA 2013</vt:lpstr>
      <vt:lpstr>DMPL 2013</vt:lpstr>
      <vt:lpstr>Controle do Imobilizado 2013</vt:lpstr>
      <vt:lpstr>Adiantamentos a funcionários</vt:lpstr>
      <vt:lpstr>EST Sup. Resmas</vt:lpstr>
      <vt:lpstr>EST Sup.Tonner</vt:lpstr>
      <vt:lpstr>Controle do Imobilizado (2012)</vt:lpstr>
      <vt:lpstr>DRE 2012</vt:lpstr>
      <vt:lpstr>BP  2012</vt:lpstr>
      <vt:lpstr>DMPL 2012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Umbelina</cp:lastModifiedBy>
  <dcterms:created xsi:type="dcterms:W3CDTF">2013-01-30T13:18:05Z</dcterms:created>
  <dcterms:modified xsi:type="dcterms:W3CDTF">2014-04-29T23:28:52Z</dcterms:modified>
</cp:coreProperties>
</file>