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y vaio\Dropbox\Aulas Graduação UFPE 2013.2\Contabilidade Societária 1\Prova\PROVA 1 unidade\"/>
    </mc:Choice>
  </mc:AlternateContent>
  <bookViews>
    <workbookView xWindow="0" yWindow="45" windowWidth="12000" windowHeight="5565" firstSheet="4" activeTab="8"/>
  </bookViews>
  <sheets>
    <sheet name="DMPL 2013" sheetId="22" r:id="rId1"/>
    <sheet name="Lançamentos" sheetId="4" r:id="rId2"/>
    <sheet name="EST x2 Chocolate" sheetId="14" r:id="rId3"/>
    <sheet name="Ações " sheetId="16" r:id="rId4"/>
    <sheet name="Controle do Imobilizado 2013" sheetId="18" r:id="rId5"/>
    <sheet name="DRE 2013" sheetId="20" r:id="rId6"/>
    <sheet name="dados" sheetId="35" r:id="rId7"/>
    <sheet name="FC PT 1 " sheetId="30" r:id="rId8"/>
    <sheet name="FC PT 2 " sheetId="31" r:id="rId9"/>
    <sheet name="FC PT 3" sheetId="32" r:id="rId10"/>
    <sheet name="FC PT 4" sheetId="36" r:id="rId11"/>
    <sheet name="RESERVAS e DIVIDENDOS 2013" sheetId="19" r:id="rId12"/>
  </sheets>
  <definedNames>
    <definedName name="_xlnm.Print_Area" localSheetId="6">dados!$A$1:$K$46</definedName>
  </definedNames>
  <calcPr calcId="152511"/>
</workbook>
</file>

<file path=xl/calcChain.xml><?xml version="1.0" encoding="utf-8"?>
<calcChain xmlns="http://schemas.openxmlformats.org/spreadsheetml/2006/main">
  <c r="B17" i="32" l="1"/>
  <c r="B19" i="31"/>
  <c r="B20" i="31" s="1"/>
  <c r="B15" i="35"/>
  <c r="B15" i="18"/>
  <c r="B16" i="18"/>
  <c r="B70" i="4" s="1"/>
  <c r="B19" i="36" l="1"/>
  <c r="B9" i="36"/>
  <c r="B5" i="36"/>
  <c r="B9" i="32"/>
  <c r="B5" i="32"/>
  <c r="B34" i="31"/>
  <c r="B21" i="36" s="1"/>
  <c r="C7" i="31"/>
  <c r="B12" i="36" s="1"/>
  <c r="I21" i="35"/>
  <c r="I19" i="35"/>
  <c r="I14" i="35"/>
  <c r="B8" i="31" s="1"/>
  <c r="B13" i="36" s="1"/>
  <c r="I9" i="35"/>
  <c r="D12" i="35"/>
  <c r="D13" i="35"/>
  <c r="C4" i="31" s="1"/>
  <c r="D14" i="35"/>
  <c r="D20" i="35"/>
  <c r="D21" i="35"/>
  <c r="D23" i="35"/>
  <c r="C15" i="30"/>
  <c r="C6" i="30"/>
  <c r="C14" i="30"/>
  <c r="H23" i="35"/>
  <c r="C9" i="30"/>
  <c r="B12" i="32" l="1"/>
  <c r="B23" i="36"/>
  <c r="C3" i="30"/>
  <c r="C10" i="22"/>
  <c r="B10" i="22"/>
  <c r="D9" i="22"/>
  <c r="B9" i="22"/>
  <c r="H26" i="35"/>
  <c r="B14" i="35"/>
  <c r="B13" i="35"/>
  <c r="G14" i="35"/>
  <c r="G21" i="35"/>
  <c r="G19" i="35"/>
  <c r="B42" i="4"/>
  <c r="B41" i="4"/>
  <c r="B97" i="4"/>
  <c r="B96" i="4"/>
  <c r="B90" i="4"/>
  <c r="B91" i="4" s="1"/>
  <c r="B87" i="4"/>
  <c r="B88" i="4" s="1"/>
  <c r="B84" i="4"/>
  <c r="B85" i="4" s="1"/>
  <c r="B11" i="35" s="1"/>
  <c r="D11" i="35" l="1"/>
  <c r="B5" i="31" s="1"/>
  <c r="B9" i="35"/>
  <c r="G10" i="35"/>
  <c r="B80" i="4"/>
  <c r="B13" i="18"/>
  <c r="B11" i="18"/>
  <c r="B10" i="18"/>
  <c r="B6" i="18"/>
  <c r="D5" i="18"/>
  <c r="D3" i="18"/>
  <c r="D6" i="18" s="1"/>
  <c r="B59" i="4"/>
  <c r="J6" i="14"/>
  <c r="H6" i="14"/>
  <c r="F6" i="14"/>
  <c r="I5" i="14"/>
  <c r="J5" i="14"/>
  <c r="B21" i="4"/>
  <c r="B22" i="4" s="1"/>
  <c r="C5" i="14"/>
  <c r="B10" i="32" l="1"/>
  <c r="B10" i="36"/>
  <c r="D9" i="35"/>
  <c r="I10" i="35"/>
  <c r="B3" i="30"/>
  <c r="I4" i="14"/>
  <c r="H4" i="14"/>
  <c r="E14" i="14"/>
  <c r="D4" i="14"/>
  <c r="A33" i="35"/>
  <c r="C37" i="35"/>
  <c r="C10" i="35" s="1"/>
  <c r="C5" i="30" s="1"/>
  <c r="D41" i="35"/>
  <c r="D43" i="35"/>
  <c r="B44" i="35"/>
  <c r="C22" i="35"/>
  <c r="D44" i="35" l="1"/>
  <c r="C24" i="35" s="1"/>
  <c r="C6" i="31"/>
  <c r="D22" i="35"/>
  <c r="B10" i="35"/>
  <c r="E16" i="14"/>
  <c r="E18" i="14"/>
  <c r="J4" i="14"/>
  <c r="H5" i="14"/>
  <c r="D10" i="35" l="1"/>
  <c r="B3" i="31" s="1"/>
  <c r="B5" i="30"/>
  <c r="C10" i="30"/>
  <c r="C26" i="35"/>
  <c r="B11" i="36"/>
  <c r="B11" i="32"/>
  <c r="D5" i="30"/>
  <c r="B8" i="36" l="1"/>
  <c r="B8" i="32"/>
  <c r="C16" i="30"/>
  <c r="B13" i="32" l="1"/>
  <c r="D9" i="30"/>
  <c r="D3" i="30"/>
  <c r="H10" i="22" l="1"/>
  <c r="H11" i="22"/>
  <c r="H13" i="22"/>
  <c r="B21" i="18" l="1"/>
  <c r="B64" i="4"/>
  <c r="E9" i="16"/>
  <c r="E8" i="16"/>
  <c r="B60" i="4"/>
  <c r="B21" i="32" l="1"/>
  <c r="F17" i="22"/>
  <c r="B12" i="18"/>
  <c r="B67" i="4" s="1"/>
  <c r="B68" i="4" s="1"/>
  <c r="B65" i="4"/>
  <c r="B30" i="4"/>
  <c r="B106" i="4" l="1"/>
  <c r="F6" i="20"/>
  <c r="B31" i="4"/>
  <c r="B14" i="18"/>
  <c r="B25" i="4"/>
  <c r="E15" i="14"/>
  <c r="B10" i="4" s="1"/>
  <c r="B13" i="4" s="1"/>
  <c r="F28" i="20" s="1"/>
  <c r="B7" i="4"/>
  <c r="B101" i="4" s="1"/>
  <c r="B9" i="4"/>
  <c r="B16" i="4" s="1"/>
  <c r="B17" i="4" s="1"/>
  <c r="C17" i="22"/>
  <c r="B95" i="4"/>
  <c r="B24" i="35" s="1"/>
  <c r="D24" i="35" s="1"/>
  <c r="D9" i="16"/>
  <c r="D8" i="16"/>
  <c r="B53" i="4" s="1"/>
  <c r="B54" i="4" s="1"/>
  <c r="D4" i="16"/>
  <c r="B49" i="4" s="1"/>
  <c r="B50" i="4" s="1"/>
  <c r="D3" i="16"/>
  <c r="B46" i="4" s="1"/>
  <c r="B47" i="4" s="1"/>
  <c r="B23" i="18" l="1"/>
  <c r="B73" i="4" s="1"/>
  <c r="B109" i="4"/>
  <c r="F23" i="20"/>
  <c r="B14" i="4"/>
  <c r="B108" i="4"/>
  <c r="B71" i="4"/>
  <c r="B17" i="31" s="1"/>
  <c r="B102" i="4"/>
  <c r="B17" i="22"/>
  <c r="B56" i="4"/>
  <c r="B57" i="4" s="1"/>
  <c r="B27" i="4"/>
  <c r="E19" i="14"/>
  <c r="F22" i="20" l="1"/>
  <c r="B107" i="4"/>
  <c r="B74" i="4"/>
  <c r="B111" i="4"/>
  <c r="F4" i="20"/>
  <c r="B18" i="31"/>
  <c r="B18" i="32"/>
  <c r="B26" i="4"/>
  <c r="B38" i="4" s="1"/>
  <c r="B39" i="4" s="1"/>
  <c r="D5" i="14"/>
  <c r="B6" i="4"/>
  <c r="B3" i="36" l="1"/>
  <c r="D15" i="35"/>
  <c r="B26" i="35"/>
  <c r="B10" i="30"/>
  <c r="D10" i="30" s="1"/>
  <c r="B4" i="32"/>
  <c r="B4" i="36"/>
  <c r="F27" i="20"/>
  <c r="F30" i="20" s="1"/>
  <c r="B112" i="4"/>
  <c r="B3" i="32"/>
  <c r="F7" i="20"/>
  <c r="F17" i="20" s="1"/>
  <c r="C15" i="31" l="1"/>
  <c r="D26" i="35"/>
  <c r="G6" i="14"/>
  <c r="B34" i="4" s="1"/>
  <c r="B19" i="32" l="1"/>
  <c r="D20" i="31"/>
  <c r="B35" i="4"/>
  <c r="F18" i="20"/>
  <c r="B110" i="4"/>
  <c r="B114" i="4" s="1"/>
  <c r="I6" i="14"/>
  <c r="F19" i="20" l="1"/>
  <c r="F25" i="20" l="1"/>
  <c r="F32" i="20" s="1"/>
  <c r="F35" i="20" l="1"/>
  <c r="F34" i="20"/>
  <c r="B117" i="4" s="1"/>
  <c r="B118" i="4" s="1"/>
  <c r="G11" i="35" s="1"/>
  <c r="B120" i="4"/>
  <c r="B121" i="4" s="1"/>
  <c r="G12" i="35" s="1"/>
  <c r="I12" i="35" s="1"/>
  <c r="B9" i="31" s="1"/>
  <c r="H9" i="22"/>
  <c r="B15" i="36" l="1"/>
  <c r="B15" i="32"/>
  <c r="I11" i="35"/>
  <c r="B6" i="30"/>
  <c r="F37" i="20"/>
  <c r="B1" i="36" s="1"/>
  <c r="B6" i="36" s="1"/>
  <c r="B123" i="4"/>
  <c r="B124" i="4" s="1"/>
  <c r="B128" i="4" s="1"/>
  <c r="B10" i="31" l="1"/>
  <c r="D6" i="30"/>
  <c r="B1" i="32"/>
  <c r="B6" i="32" s="1"/>
  <c r="G12" i="22"/>
  <c r="H12" i="22" s="1"/>
  <c r="B35" i="31" s="1"/>
  <c r="M5" i="19"/>
  <c r="F5" i="19"/>
  <c r="F6" i="19" s="1"/>
  <c r="M6" i="19" s="1"/>
  <c r="B132" i="4"/>
  <c r="B129" i="4"/>
  <c r="G23" i="35" s="1"/>
  <c r="B138" i="4"/>
  <c r="I23" i="35" l="1"/>
  <c r="B14" i="32"/>
  <c r="B16" i="32" s="1"/>
  <c r="B14" i="36"/>
  <c r="B16" i="36" s="1"/>
  <c r="B24" i="36" s="1"/>
  <c r="C24" i="36" s="1"/>
  <c r="B12" i="31"/>
  <c r="E6" i="30"/>
  <c r="M8" i="19"/>
  <c r="M9" i="19" s="1"/>
  <c r="F7" i="19"/>
  <c r="B139" i="4"/>
  <c r="B133" i="4"/>
  <c r="B134" i="4" s="1"/>
  <c r="B135" i="4" s="1"/>
  <c r="B140" i="4" l="1"/>
  <c r="G13" i="35"/>
  <c r="D12" i="31"/>
  <c r="G16" i="22"/>
  <c r="H16" i="22" s="1"/>
  <c r="C36" i="31" s="1"/>
  <c r="B22" i="32" s="1"/>
  <c r="B147" i="4"/>
  <c r="B141" i="4"/>
  <c r="G24" i="35" s="1"/>
  <c r="G14" i="22"/>
  <c r="B145" i="4"/>
  <c r="I24" i="35" l="1"/>
  <c r="B15" i="30"/>
  <c r="D15" i="30" s="1"/>
  <c r="B14" i="30"/>
  <c r="I13" i="35"/>
  <c r="G26" i="35"/>
  <c r="B37" i="31"/>
  <c r="D14" i="22"/>
  <c r="G15" i="22"/>
  <c r="E15" i="22" s="1"/>
  <c r="B146" i="4"/>
  <c r="B144" i="4" s="1"/>
  <c r="D14" i="30" l="1"/>
  <c r="D16" i="30" s="1"/>
  <c r="B16" i="30"/>
  <c r="B27" i="31"/>
  <c r="B32" i="31" s="1"/>
  <c r="B38" i="31" s="1"/>
  <c r="D38" i="31" s="1"/>
  <c r="I26" i="35"/>
  <c r="H15" i="22"/>
  <c r="E17" i="22"/>
  <c r="G17" i="22"/>
  <c r="H14" i="22"/>
  <c r="D17" i="22"/>
  <c r="B20" i="32" l="1"/>
  <c r="B23" i="32" s="1"/>
  <c r="B24" i="32" s="1"/>
  <c r="C24" i="32" s="1"/>
  <c r="J16" i="22"/>
  <c r="H17" i="22"/>
  <c r="J17" i="22" l="1"/>
</calcChain>
</file>

<file path=xl/sharedStrings.xml><?xml version="1.0" encoding="utf-8"?>
<sst xmlns="http://schemas.openxmlformats.org/spreadsheetml/2006/main" count="397" uniqueCount="300">
  <si>
    <t>Papel</t>
  </si>
  <si>
    <t>Quantidade</t>
  </si>
  <si>
    <t>Valor Unt</t>
  </si>
  <si>
    <t>Valor Total</t>
  </si>
  <si>
    <t>PETROBRÁS</t>
  </si>
  <si>
    <t>AMBEV</t>
  </si>
  <si>
    <t xml:space="preserve">Situação </t>
  </si>
  <si>
    <t>Mantém</t>
  </si>
  <si>
    <t>Setembro</t>
  </si>
  <si>
    <t>Dezembro</t>
  </si>
  <si>
    <t>D - Estoques</t>
  </si>
  <si>
    <t>D - ICMS a recuperar</t>
  </si>
  <si>
    <t>C - Bancos</t>
  </si>
  <si>
    <t>C - Fornecedor</t>
  </si>
  <si>
    <t>Lançamentos</t>
  </si>
  <si>
    <t>1. Questão - Compra de Mercadoria</t>
  </si>
  <si>
    <t>D - Despesa de Juros</t>
  </si>
  <si>
    <t>C - Juros a apropriar</t>
  </si>
  <si>
    <t>Apropriação dos juros</t>
  </si>
  <si>
    <t>Saldo Final</t>
  </si>
  <si>
    <t>valor futuro</t>
  </si>
  <si>
    <t>valor presente</t>
  </si>
  <si>
    <t>D - Clientes</t>
  </si>
  <si>
    <t>C - Receita de Vendas</t>
  </si>
  <si>
    <t>D - Despesa com ICMS</t>
  </si>
  <si>
    <t>C - ICMS a recolher</t>
  </si>
  <si>
    <t>Pela Venda</t>
  </si>
  <si>
    <t>Pelo ICMS</t>
  </si>
  <si>
    <t>D - CMV</t>
  </si>
  <si>
    <t>C - Estoques</t>
  </si>
  <si>
    <t>Pelo Estoque</t>
  </si>
  <si>
    <t>D - Juros a apropriar</t>
  </si>
  <si>
    <t>C - Receita Financeira</t>
  </si>
  <si>
    <t>D - Bancos</t>
  </si>
  <si>
    <t>Total</t>
  </si>
  <si>
    <t>D - Ações (CP) Petrobrás</t>
  </si>
  <si>
    <t>D - Ações (CP) Ambev</t>
  </si>
  <si>
    <t>C - Receita financeira</t>
  </si>
  <si>
    <t>C - Ações (CP) Petrobrás</t>
  </si>
  <si>
    <t>D - Despesa com depreciação</t>
  </si>
  <si>
    <t>C - Depreciação acumulada</t>
  </si>
  <si>
    <t>D - Depreciação acumulada</t>
  </si>
  <si>
    <t>C - Veículos</t>
  </si>
  <si>
    <t>D - Ativos não circulantes disp venda (circulante)</t>
  </si>
  <si>
    <t>D - Despesas com ICMS</t>
  </si>
  <si>
    <t>D - Despesas com Depreciação</t>
  </si>
  <si>
    <t>C - Receitas com Vendas</t>
  </si>
  <si>
    <t>C - Receitas Financeiras</t>
  </si>
  <si>
    <t>D - ARE</t>
  </si>
  <si>
    <t>C - Lucros Acumulados</t>
  </si>
  <si>
    <t>D - Lucros Acumulados</t>
  </si>
  <si>
    <t>C - IRPJ</t>
  </si>
  <si>
    <t>Sub Total</t>
  </si>
  <si>
    <t>C - CSLL</t>
  </si>
  <si>
    <t>Distribuição do Lucros</t>
  </si>
  <si>
    <t>Lucro Líquido do Exercício</t>
  </si>
  <si>
    <t>(-) Reserva Legal</t>
  </si>
  <si>
    <t>(-) 60% Dividendos</t>
  </si>
  <si>
    <t>Cálculo dos Dividendos</t>
  </si>
  <si>
    <t>Cálculo da Reserva de Retenção de Lucros</t>
  </si>
  <si>
    <t>(-) Dividendos</t>
  </si>
  <si>
    <t>C - Reserva Legal</t>
  </si>
  <si>
    <t>C - Reserva de Retenção de Lucros</t>
  </si>
  <si>
    <t>Valor da reserva de retenção de lucros</t>
  </si>
  <si>
    <t>C - Dividendos a distribuir</t>
  </si>
  <si>
    <t>Depreciação</t>
  </si>
  <si>
    <t>Vida útil estimada (anos)</t>
  </si>
  <si>
    <t>Custo Histórico</t>
  </si>
  <si>
    <t>Imobilizado</t>
  </si>
  <si>
    <t>Exercício 2012</t>
  </si>
  <si>
    <t>CUSTO TOTAL</t>
  </si>
  <si>
    <t xml:space="preserve">(-) ICMS </t>
  </si>
  <si>
    <t>COMPRA 2</t>
  </si>
  <si>
    <t>V.T.</t>
  </si>
  <si>
    <t>VALOR UNIT.</t>
  </si>
  <si>
    <t>QT.</t>
  </si>
  <si>
    <t>SALDO FINAL</t>
  </si>
  <si>
    <t>SAÍDA</t>
  </si>
  <si>
    <t>SALDO INICIAL</t>
  </si>
  <si>
    <t>Clientes</t>
  </si>
  <si>
    <t>Veículos</t>
  </si>
  <si>
    <t>ICMS a Pagar</t>
  </si>
  <si>
    <t>Capital Social Integralizado</t>
  </si>
  <si>
    <t>Reserva Legal</t>
  </si>
  <si>
    <t>Controle da Receita Líquida</t>
  </si>
  <si>
    <t>Receita Bruta</t>
  </si>
  <si>
    <t>Deduções da Receita Bruta:</t>
  </si>
  <si>
    <t>Desp. Com ICMS</t>
  </si>
  <si>
    <t>(</t>
  </si>
  <si>
    <t>)</t>
  </si>
  <si>
    <t>Receita Liquida</t>
  </si>
  <si>
    <t>Nome da Empresa</t>
  </si>
  <si>
    <t>Demonstração do Resultado</t>
  </si>
  <si>
    <t>Exercício findo em 31 de dezembro de x2</t>
  </si>
  <si>
    <t>(Expressa em R$)</t>
  </si>
  <si>
    <t>Receitas</t>
  </si>
  <si>
    <t>(-) CMV</t>
  </si>
  <si>
    <t>Lucro Bruto</t>
  </si>
  <si>
    <t xml:space="preserve">Desp. Administrativas </t>
  </si>
  <si>
    <t>Desp. c/ depreciação</t>
  </si>
  <si>
    <t>Lucro Operacional</t>
  </si>
  <si>
    <t>Receita Financeira</t>
  </si>
  <si>
    <t>Despesa  Financeira</t>
  </si>
  <si>
    <t>Resultado Financeiro Líquido</t>
  </si>
  <si>
    <t>Lucro antes do imposto de renda e contribuição social</t>
  </si>
  <si>
    <t>Desp. c/ IR</t>
  </si>
  <si>
    <t>Desp. c/ CSLL</t>
  </si>
  <si>
    <t>BASE DE CÁLCULO DAS RESERVAS</t>
  </si>
  <si>
    <t>BASE DE CÁLCULO DOS DIVIDENDOS</t>
  </si>
  <si>
    <t>Lucro líquido do exercício</t>
  </si>
  <si>
    <t>Lucro líquido do exercicio</t>
  </si>
  <si>
    <t>(-) 5% para reserva legal</t>
  </si>
  <si>
    <t>Saldo</t>
  </si>
  <si>
    <t>(-) 60% dividendos</t>
  </si>
  <si>
    <t>ATIVO</t>
  </si>
  <si>
    <t>Variação</t>
  </si>
  <si>
    <t>Ativo Circulante</t>
  </si>
  <si>
    <t>Passivo Circulante</t>
  </si>
  <si>
    <t>Estoques</t>
  </si>
  <si>
    <t>Dividendos a Pagar</t>
  </si>
  <si>
    <t>Ativo Não Circulante</t>
  </si>
  <si>
    <t>Patrimônio Líquido</t>
  </si>
  <si>
    <t>Total Ativo</t>
  </si>
  <si>
    <t>Demonstração das Mutações do Patrimônio Líquido</t>
  </si>
  <si>
    <t>RESERVA DE CAPITAL</t>
  </si>
  <si>
    <t>RESERVAS DE LUCRO</t>
  </si>
  <si>
    <t>Eventos</t>
  </si>
  <si>
    <t>Ágio na emissão de ações</t>
  </si>
  <si>
    <t>Reserva de retenção de lucros</t>
  </si>
  <si>
    <t>Saldo Anterior</t>
  </si>
  <si>
    <t>Aumento de capital</t>
  </si>
  <si>
    <t>Lucro líquido exercício</t>
  </si>
  <si>
    <t>Destinação das reservas</t>
  </si>
  <si>
    <t>Distribuição de Dividendos</t>
  </si>
  <si>
    <t>(-) JUROS</t>
  </si>
  <si>
    <t>VALOR DA MERCADORIA (VF)</t>
  </si>
  <si>
    <t>VALOR DA MERCADORIA (VP)</t>
  </si>
  <si>
    <t>D - Juros a Apropriar (redutora de fornecedores)</t>
  </si>
  <si>
    <t>C - Juros a Apropriar (redutora de clientes)</t>
  </si>
  <si>
    <t/>
  </si>
  <si>
    <t>Procedimentos para alienação do Veículo 1</t>
  </si>
  <si>
    <t>2) Depreciação em 2012</t>
  </si>
  <si>
    <t>3) Depreciação Total (2012+2013)</t>
  </si>
  <si>
    <t>4) Custo Histórico</t>
  </si>
  <si>
    <t>5) Valor Contábil Líquido</t>
  </si>
  <si>
    <t>Gastos estimados com manutenção</t>
  </si>
  <si>
    <t>Outras despesas com venda (comissão)</t>
  </si>
  <si>
    <t>Valor estimado de venda</t>
  </si>
  <si>
    <t>Valor estimado de venda (líquido)</t>
  </si>
  <si>
    <t>D - Despesa com depreciação (2013)</t>
  </si>
  <si>
    <t>Saldo após reserva legal</t>
  </si>
  <si>
    <t>Conferência</t>
  </si>
  <si>
    <t>Exercício findo em 31 de dezembro de 2013</t>
  </si>
  <si>
    <t>Luc.ou Prej. Acum.</t>
  </si>
  <si>
    <t>Ajuste de Avaliação Patrimonial</t>
  </si>
  <si>
    <t>C - ICMS a Recuperar</t>
  </si>
  <si>
    <t>D - ICMS a Pagar</t>
  </si>
  <si>
    <t>15. ARE</t>
  </si>
  <si>
    <t>Ajuste Avaliação Patrimonial</t>
  </si>
  <si>
    <t>Reserva de Retenção de Lucros</t>
  </si>
  <si>
    <t>Fornecedores</t>
  </si>
  <si>
    <t>Salários a pagar</t>
  </si>
  <si>
    <t>1) Depreciação em 2013 (até novembro)</t>
  </si>
  <si>
    <t xml:space="preserve"> Período </t>
  </si>
  <si>
    <t xml:space="preserve">Variação </t>
  </si>
  <si>
    <t>(20X2 – 20X1)</t>
  </si>
  <si>
    <t xml:space="preserve"> Caixa (*)</t>
  </si>
  <si>
    <t xml:space="preserve">Total do Ativo Operacional </t>
  </si>
  <si>
    <t>Atividades de Investimentos</t>
  </si>
  <si>
    <t>Total dos Investimentos</t>
  </si>
  <si>
    <t>Total do Imobilizado</t>
  </si>
  <si>
    <t>Total do Intangível</t>
  </si>
  <si>
    <t>Atividades de financiamentos</t>
  </si>
  <si>
    <t xml:space="preserve">  </t>
  </si>
  <si>
    <t xml:space="preserve">Contas </t>
  </si>
  <si>
    <t>Entrada</t>
  </si>
  <si>
    <t>Saída</t>
  </si>
  <si>
    <t>Estoques - Produtos para Revenda</t>
  </si>
  <si>
    <t>Juros a Apropriar</t>
  </si>
  <si>
    <t>ICMS a Recolher</t>
  </si>
  <si>
    <t>CSLL a Pagar</t>
  </si>
  <si>
    <t>IR a Pagar</t>
  </si>
  <si>
    <t xml:space="preserve">        Imobilizado</t>
  </si>
  <si>
    <t xml:space="preserve">       Ativo não circulante mantido p/ venda</t>
  </si>
  <si>
    <t xml:space="preserve">        Aquisição de equipamentos</t>
  </si>
  <si>
    <t xml:space="preserve">        Baixa de veículos</t>
  </si>
  <si>
    <t xml:space="preserve">        Despesa de depreciação </t>
  </si>
  <si>
    <t xml:space="preserve">Sub total (entradas – saídas) </t>
  </si>
  <si>
    <t xml:space="preserve">        Investimentos</t>
  </si>
  <si>
    <t xml:space="preserve">       Adiantamento a funcionários</t>
  </si>
  <si>
    <t>Sub total (entradas – saídas)</t>
  </si>
  <si>
    <t>Passivos não operacionais</t>
  </si>
  <si>
    <t xml:space="preserve">       Dividendos a pagar</t>
  </si>
  <si>
    <t xml:space="preserve">       Contas a pagar </t>
  </si>
  <si>
    <t xml:space="preserve">       Pagamento de contas a pagar </t>
  </si>
  <si>
    <t xml:space="preserve">       Despesas com juros </t>
  </si>
  <si>
    <t>Sub Total (entradas – saídas)</t>
  </si>
  <si>
    <t xml:space="preserve">Ajustes para reconciliar o lucro ao fluxo de caixa operacional </t>
  </si>
  <si>
    <t>(+) Despesa com Depreciação (*)</t>
  </si>
  <si>
    <t>(+) Despesa com Imparidade</t>
  </si>
  <si>
    <t>(-) Ganho no merado financeiro</t>
  </si>
  <si>
    <t>Lucro líquido ajustado</t>
  </si>
  <si>
    <t>Variação de ativos e passivos operacionais</t>
  </si>
  <si>
    <t>Instrumentros Financeiros - ações</t>
  </si>
  <si>
    <r>
      <t xml:space="preserve">Aumento do saldo de </t>
    </r>
    <r>
      <rPr>
        <sz val="10"/>
        <rFont val="Calibri"/>
        <family val="2"/>
      </rPr>
      <t>ICMS a recolher</t>
    </r>
  </si>
  <si>
    <r>
      <t xml:space="preserve">Redução do </t>
    </r>
    <r>
      <rPr>
        <sz val="10"/>
        <rFont val="Calibri"/>
        <family val="2"/>
      </rPr>
      <t>IR a pagar</t>
    </r>
  </si>
  <si>
    <r>
      <t>Redução do CSLL</t>
    </r>
    <r>
      <rPr>
        <sz val="10"/>
        <rFont val="Calibri"/>
        <family val="2"/>
      </rPr>
      <t xml:space="preserve"> a pagar</t>
    </r>
  </si>
  <si>
    <t>Caixa líquido gerado pelas atividades operacionais (1)</t>
  </si>
  <si>
    <t>Ativo não circulante mantido p/ venda</t>
  </si>
  <si>
    <t>Baixa de veículos</t>
  </si>
  <si>
    <t>Caixa líquido gerado pelas atividades de investimentos (2)</t>
  </si>
  <si>
    <t xml:space="preserve">Dividendos a pagar </t>
  </si>
  <si>
    <t>Redução do lucro para distribuição dividendos</t>
  </si>
  <si>
    <t>Caixa líquido gerado pelas atividades de financiamentos (3)</t>
  </si>
  <si>
    <t>Aumento do Caixa (1)+(2)+(3)</t>
  </si>
  <si>
    <t>Total do Passivo Operacional</t>
  </si>
  <si>
    <t xml:space="preserve">   Total dos Passivos não Operacionais </t>
  </si>
  <si>
    <t xml:space="preserve">   Total do Patrimônio Líquido </t>
  </si>
  <si>
    <t xml:space="preserve">Total Geral </t>
  </si>
  <si>
    <t xml:space="preserve"> Atividades operacionais </t>
  </si>
  <si>
    <t xml:space="preserve"> Atividades de Investimentos </t>
  </si>
  <si>
    <t xml:space="preserve">       Investimentos</t>
  </si>
  <si>
    <t xml:space="preserve"> Atividades de Financiamento</t>
  </si>
  <si>
    <t xml:space="preserve">       Lucros </t>
  </si>
  <si>
    <t xml:space="preserve">       Redução do lucro para distribuição dividendos</t>
  </si>
  <si>
    <t xml:space="preserve">TOTAL GERAL </t>
  </si>
  <si>
    <t>(Perda econômica)</t>
  </si>
  <si>
    <t>(Ganho econômica)</t>
  </si>
  <si>
    <t>Investimentos (Ações de curto prazo)</t>
  </si>
  <si>
    <t>EXERCÍCIO SOBRE FLUXO DE CAIXA</t>
  </si>
  <si>
    <t xml:space="preserve">A partir do saldos das contas patrimoniais apresentados abaixo, realize os lançamentos contábeis e elabore </t>
  </si>
  <si>
    <t xml:space="preserve">o BP, a DR e o FC. </t>
  </si>
  <si>
    <t>PASSIVO</t>
  </si>
  <si>
    <t>Disponibilidades</t>
  </si>
  <si>
    <t>Máquinas</t>
  </si>
  <si>
    <t xml:space="preserve">     Veículos</t>
  </si>
  <si>
    <t>Edificações</t>
  </si>
  <si>
    <t>Reserva de Lucros</t>
  </si>
  <si>
    <t>(-) Dep. Acumulada</t>
  </si>
  <si>
    <t>Total Passivo</t>
  </si>
  <si>
    <t>INFORMAÇÕES ADICIONAIS</t>
  </si>
  <si>
    <t>COMPOSIÇÃO DO CAPITAL SOCIAL</t>
  </si>
  <si>
    <t>Número de ações</t>
  </si>
  <si>
    <t>Valor nominal</t>
  </si>
  <si>
    <t>Valor total do capital social</t>
  </si>
  <si>
    <t>COMPOSIÇÃO DO ESTOQUE</t>
  </si>
  <si>
    <t>Quantidade de itens</t>
  </si>
  <si>
    <t>Valor Unitário</t>
  </si>
  <si>
    <t>Valor total do estoque</t>
  </si>
  <si>
    <t>COMPOSIÇÃO DO IMOBILIZADO</t>
  </si>
  <si>
    <t>Item</t>
  </si>
  <si>
    <t>Valor</t>
  </si>
  <si>
    <t>Vida útil</t>
  </si>
  <si>
    <t>Valor Depreciado</t>
  </si>
  <si>
    <t>10 anos</t>
  </si>
  <si>
    <t>5 anos</t>
  </si>
  <si>
    <t>25 anos</t>
  </si>
  <si>
    <t>FRETE FOB</t>
  </si>
  <si>
    <t xml:space="preserve">Dezembro </t>
  </si>
  <si>
    <t>Venda de 50 ações</t>
  </si>
  <si>
    <t>3. Questão - Compra de ações</t>
  </si>
  <si>
    <t>2. Questão - Venda de Mercadoria</t>
  </si>
  <si>
    <t>4. Questão - Ativos não  circulantes disponíveis para vendas</t>
  </si>
  <si>
    <t>D - Despesas com Imparidade</t>
  </si>
  <si>
    <t>Imparidade</t>
  </si>
  <si>
    <t>D- Bancos (disponibilidades)</t>
  </si>
  <si>
    <t>C- Capital Social</t>
  </si>
  <si>
    <t>C- Reserva de Capital -Ágio na emissão de ações</t>
  </si>
  <si>
    <t>5. Emissão de Novas ações</t>
  </si>
  <si>
    <t>C- Clientes</t>
  </si>
  <si>
    <t>D- Fornecedores</t>
  </si>
  <si>
    <t>C- Bancos</t>
  </si>
  <si>
    <t>C - Depreciação acumulada máquinas</t>
  </si>
  <si>
    <t>C - Depreciação acumulada edificações</t>
  </si>
  <si>
    <t>6. Pagamentos e recebimentos</t>
  </si>
  <si>
    <t>7. Depreciação</t>
  </si>
  <si>
    <t>8. Apuração do ICMS</t>
  </si>
  <si>
    <t>D - Despesass por Imparidade</t>
  </si>
  <si>
    <t>D - Despesas Juros</t>
  </si>
  <si>
    <t>Desp. c/ imparidade</t>
  </si>
  <si>
    <t>D - Fornecedor</t>
  </si>
  <si>
    <t>C - Clientes</t>
  </si>
  <si>
    <t>At. N.C.D. Venda</t>
  </si>
  <si>
    <t>D- Salários a pagar</t>
  </si>
  <si>
    <t>Reserva de Capital</t>
  </si>
  <si>
    <t>Ágio da emissão de ações</t>
  </si>
  <si>
    <t>Reserva Retenção de Lucros</t>
  </si>
  <si>
    <t>Investimentos</t>
  </si>
  <si>
    <t>Ações Petrobrás</t>
  </si>
  <si>
    <t>Ações Ambev</t>
  </si>
  <si>
    <t>Diferença</t>
  </si>
  <si>
    <t>Salários a Pagar</t>
  </si>
  <si>
    <t>Aumento de Capital</t>
  </si>
  <si>
    <t>Redução dos estoques</t>
  </si>
  <si>
    <t>Redução dos clientes</t>
  </si>
  <si>
    <t>Redução de fornecedores</t>
  </si>
  <si>
    <t>Redução de salários a pagar</t>
  </si>
  <si>
    <t>(-) Imparidade</t>
  </si>
  <si>
    <t>6) Valor Contábil Final</t>
  </si>
  <si>
    <t xml:space="preserve">        Despesa de imparidade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</si>
</sst>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\ * #,##0_-;\-&quot;R$&quot;\ * #,##0_-;_-&quot;R$&quot;\ * &quot;-&quot;??_-;_-@_-"/>
    <numFmt numFmtId="166" formatCode="&quot;R$ &quot;#,##0.00_);[Red]\(&quot;R$ &quot;#,##0.0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3B3B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</cellStyleXfs>
  <cellXfs count="213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5" fillId="0" borderId="0" xfId="0" applyFont="1"/>
    <xf numFmtId="164" fontId="0" fillId="0" borderId="0" xfId="1" applyNumberFormat="1" applyFont="1"/>
    <xf numFmtId="0" fontId="6" fillId="0" borderId="0" xfId="0" applyFont="1"/>
    <xf numFmtId="43" fontId="0" fillId="0" borderId="0" xfId="1" applyFont="1"/>
    <xf numFmtId="0" fontId="0" fillId="0" borderId="1" xfId="0" applyBorder="1" applyAlignment="1">
      <alignment horizontal="center"/>
    </xf>
    <xf numFmtId="43" fontId="0" fillId="0" borderId="2" xfId="1" applyFont="1" applyBorder="1"/>
    <xf numFmtId="43" fontId="0" fillId="0" borderId="3" xfId="1" applyFont="1" applyBorder="1"/>
    <xf numFmtId="0" fontId="0" fillId="0" borderId="3" xfId="0" applyBorder="1"/>
    <xf numFmtId="43" fontId="0" fillId="0" borderId="4" xfId="1" applyFont="1" applyBorder="1"/>
    <xf numFmtId="44" fontId="0" fillId="0" borderId="0" xfId="0" applyNumberFormat="1"/>
    <xf numFmtId="43" fontId="0" fillId="0" borderId="5" xfId="1" applyFont="1" applyBorder="1"/>
    <xf numFmtId="43" fontId="0" fillId="0" borderId="0" xfId="1" applyFont="1" applyBorder="1"/>
    <xf numFmtId="0" fontId="0" fillId="0" borderId="0" xfId="0" applyBorder="1"/>
    <xf numFmtId="43" fontId="0" fillId="0" borderId="6" xfId="1" applyFont="1" applyBorder="1"/>
    <xf numFmtId="0" fontId="0" fillId="0" borderId="0" xfId="0" applyBorder="1" applyAlignment="1">
      <alignment horizontal="left"/>
    </xf>
    <xf numFmtId="0" fontId="0" fillId="0" borderId="6" xfId="0" applyBorder="1"/>
    <xf numFmtId="43" fontId="0" fillId="0" borderId="7" xfId="1" applyFont="1" applyBorder="1"/>
    <xf numFmtId="43" fontId="0" fillId="0" borderId="8" xfId="1" applyFont="1" applyBorder="1"/>
    <xf numFmtId="0" fontId="0" fillId="0" borderId="8" xfId="0" applyBorder="1"/>
    <xf numFmtId="43" fontId="4" fillId="0" borderId="9" xfId="1" applyFont="1" applyBorder="1"/>
    <xf numFmtId="43" fontId="0" fillId="3" borderId="1" xfId="1" applyFont="1" applyFill="1" applyBorder="1"/>
    <xf numFmtId="0" fontId="0" fillId="3" borderId="1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/>
    <xf numFmtId="165" fontId="0" fillId="0" borderId="0" xfId="2" applyNumberFormat="1" applyFont="1"/>
    <xf numFmtId="0" fontId="5" fillId="0" borderId="0" xfId="0" applyFont="1" applyAlignment="1">
      <alignment horizontal="left" indent="2"/>
    </xf>
    <xf numFmtId="0" fontId="0" fillId="0" borderId="3" xfId="0" applyBorder="1" applyAlignment="1">
      <alignment horizontal="right"/>
    </xf>
    <xf numFmtId="165" fontId="0" fillId="0" borderId="3" xfId="2" applyNumberFormat="1" applyFont="1" applyBorder="1" applyAlignment="1">
      <alignment horizontal="center"/>
    </xf>
    <xf numFmtId="165" fontId="0" fillId="0" borderId="0" xfId="0" applyNumberFormat="1"/>
    <xf numFmtId="0" fontId="4" fillId="4" borderId="0" xfId="0" applyFont="1" applyFill="1"/>
    <xf numFmtId="165" fontId="4" fillId="4" borderId="0" xfId="2" applyNumberFormat="1" applyFont="1" applyFill="1"/>
    <xf numFmtId="0" fontId="0" fillId="4" borderId="0" xfId="0" applyFill="1"/>
    <xf numFmtId="0" fontId="0" fillId="0" borderId="0" xfId="0" applyBorder="1" applyAlignment="1">
      <alignment horizontal="right"/>
    </xf>
    <xf numFmtId="165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0" xfId="2" applyNumberFormat="1" applyFont="1" applyAlignment="1">
      <alignment horizontal="center"/>
    </xf>
    <xf numFmtId="0" fontId="4" fillId="4" borderId="8" xfId="0" applyFont="1" applyFill="1" applyBorder="1"/>
    <xf numFmtId="165" fontId="4" fillId="4" borderId="8" xfId="2" applyNumberFormat="1" applyFont="1" applyFill="1" applyBorder="1"/>
    <xf numFmtId="0" fontId="4" fillId="0" borderId="0" xfId="0" applyFont="1" applyFill="1"/>
    <xf numFmtId="0" fontId="4" fillId="0" borderId="0" xfId="0" applyFont="1" applyFill="1" applyBorder="1"/>
    <xf numFmtId="165" fontId="4" fillId="0" borderId="0" xfId="2" applyNumberFormat="1" applyFont="1" applyFill="1" applyBorder="1"/>
    <xf numFmtId="0" fontId="0" fillId="0" borderId="0" xfId="0" applyFont="1"/>
    <xf numFmtId="0" fontId="4" fillId="0" borderId="0" xfId="0" applyFont="1" applyBorder="1"/>
    <xf numFmtId="0" fontId="0" fillId="0" borderId="3" xfId="0" applyFont="1" applyFill="1" applyBorder="1" applyAlignment="1">
      <alignment horizontal="right"/>
    </xf>
    <xf numFmtId="165" fontId="1" fillId="0" borderId="3" xfId="2" applyNumberFormat="1" applyFont="1" applyBorder="1" applyAlignment="1">
      <alignment horizontal="center"/>
    </xf>
    <xf numFmtId="0" fontId="0" fillId="0" borderId="3" xfId="0" applyFont="1" applyBorder="1"/>
    <xf numFmtId="0" fontId="4" fillId="0" borderId="0" xfId="0" applyFont="1" applyFill="1" applyBorder="1" applyAlignment="1">
      <alignment horizontal="right"/>
    </xf>
    <xf numFmtId="165" fontId="4" fillId="0" borderId="0" xfId="2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0" borderId="3" xfId="2" applyNumberFormat="1" applyFont="1" applyBorder="1"/>
    <xf numFmtId="165" fontId="0" fillId="0" borderId="0" xfId="2" applyNumberFormat="1" applyFont="1" applyBorder="1"/>
    <xf numFmtId="4" fontId="0" fillId="0" borderId="0" xfId="0" applyNumberFormat="1"/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43" fontId="0" fillId="2" borderId="1" xfId="1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indent="1"/>
    </xf>
    <xf numFmtId="0" fontId="0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5" borderId="0" xfId="0" applyFill="1" applyBorder="1" applyAlignment="1">
      <alignment horizontal="center"/>
    </xf>
    <xf numFmtId="43" fontId="0" fillId="5" borderId="0" xfId="1" applyFont="1" applyFill="1" applyBorder="1"/>
    <xf numFmtId="43" fontId="0" fillId="0" borderId="0" xfId="0" applyNumberFormat="1"/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43" fontId="0" fillId="0" borderId="0" xfId="1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quotePrefix="1"/>
    <xf numFmtId="164" fontId="0" fillId="0" borderId="1" xfId="1" applyNumberFormat="1" applyFont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1" applyNumberFormat="1" applyFont="1" applyFill="1"/>
    <xf numFmtId="164" fontId="3" fillId="0" borderId="0" xfId="0" applyNumberFormat="1" applyFont="1"/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1" fillId="0" borderId="0" xfId="2" applyNumberFormat="1" applyFont="1" applyBorder="1"/>
    <xf numFmtId="165" fontId="4" fillId="0" borderId="0" xfId="0" applyNumberFormat="1" applyFont="1"/>
    <xf numFmtId="164" fontId="0" fillId="0" borderId="0" xfId="0" applyNumberFormat="1"/>
    <xf numFmtId="0" fontId="12" fillId="0" borderId="0" xfId="0" applyFont="1" applyAlignment="1">
      <alignment horizontal="center"/>
    </xf>
    <xf numFmtId="43" fontId="0" fillId="6" borderId="5" xfId="1" applyFont="1" applyFill="1" applyBorder="1"/>
    <xf numFmtId="43" fontId="0" fillId="3" borderId="1" xfId="1" applyFont="1" applyFill="1" applyBorder="1" applyAlignment="1">
      <alignment horizontal="center" vertical="center" wrapText="1"/>
    </xf>
    <xf numFmtId="43" fontId="2" fillId="0" borderId="0" xfId="0" applyNumberFormat="1" applyFont="1" applyFill="1"/>
    <xf numFmtId="43" fontId="1" fillId="0" borderId="0" xfId="1" applyFont="1"/>
    <xf numFmtId="0" fontId="2" fillId="0" borderId="0" xfId="0" applyFont="1"/>
    <xf numFmtId="4" fontId="14" fillId="0" borderId="1" xfId="0" applyNumberFormat="1" applyFont="1" applyBorder="1" applyAlignment="1">
      <alignment horizontal="center" vertical="center"/>
    </xf>
    <xf numFmtId="0" fontId="13" fillId="7" borderId="1" xfId="0" applyFont="1" applyFill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vertical="center"/>
    </xf>
    <xf numFmtId="43" fontId="17" fillId="0" borderId="1" xfId="0" applyNumberFormat="1" applyFont="1" applyFill="1" applyBorder="1" applyAlignment="1">
      <alignment horizontal="center" vertical="center"/>
    </xf>
    <xf numFmtId="43" fontId="18" fillId="0" borderId="1" xfId="0" applyNumberFormat="1" applyFont="1" applyFill="1" applyBorder="1" applyAlignment="1">
      <alignment horizontal="center" vertical="center"/>
    </xf>
    <xf numFmtId="43" fontId="19" fillId="0" borderId="1" xfId="0" applyNumberFormat="1" applyFont="1" applyFill="1" applyBorder="1" applyAlignment="1">
      <alignment horizontal="center" vertical="center"/>
    </xf>
    <xf numFmtId="43" fontId="20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indent="2"/>
    </xf>
    <xf numFmtId="0" fontId="15" fillId="0" borderId="1" xfId="0" applyFont="1" applyFill="1" applyBorder="1" applyAlignment="1">
      <alignment horizontal="left" vertical="center" indent="2"/>
    </xf>
    <xf numFmtId="0" fontId="14" fillId="7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left" vertical="center" indent="2"/>
    </xf>
    <xf numFmtId="0" fontId="14" fillId="8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indent="3"/>
    </xf>
    <xf numFmtId="0" fontId="13" fillId="8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9" borderId="1" xfId="0" applyFont="1" applyFill="1" applyBorder="1" applyAlignment="1">
      <alignment vertical="center"/>
    </xf>
    <xf numFmtId="0" fontId="17" fillId="8" borderId="1" xfId="0" applyFont="1" applyFill="1" applyBorder="1" applyAlignment="1">
      <alignment vertical="center"/>
    </xf>
    <xf numFmtId="3" fontId="0" fillId="0" borderId="0" xfId="0" applyNumberFormat="1"/>
    <xf numFmtId="164" fontId="19" fillId="0" borderId="1" xfId="0" applyNumberFormat="1" applyFont="1" applyFill="1" applyBorder="1" applyAlignment="1">
      <alignment horizontal="center" vertical="center"/>
    </xf>
    <xf numFmtId="164" fontId="20" fillId="1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164" fontId="2" fillId="0" borderId="1" xfId="0" applyNumberFormat="1" applyFont="1" applyFill="1" applyBorder="1"/>
    <xf numFmtId="164" fontId="19" fillId="0" borderId="1" xfId="1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0" fillId="0" borderId="1" xfId="0" applyNumberFormat="1" applyBorder="1"/>
    <xf numFmtId="3" fontId="24" fillId="0" borderId="0" xfId="0" applyNumberFormat="1" applyFont="1"/>
    <xf numFmtId="3" fontId="14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164" fontId="1" fillId="0" borderId="0" xfId="1" applyNumberFormat="1" applyFont="1"/>
    <xf numFmtId="164" fontId="14" fillId="0" borderId="1" xfId="0" applyNumberFormat="1" applyFont="1" applyFill="1" applyBorder="1" applyAlignment="1">
      <alignment horizontal="center" vertical="center"/>
    </xf>
    <xf numFmtId="164" fontId="20" fillId="10" borderId="1" xfId="1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164" fontId="14" fillId="1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1" xfId="0" applyFont="1" applyBorder="1" applyAlignment="1">
      <alignment horizontal="right" vertical="top"/>
    </xf>
    <xf numFmtId="0" fontId="27" fillId="0" borderId="1" xfId="0" applyFont="1" applyBorder="1" applyAlignment="1">
      <alignment vertical="top"/>
    </xf>
    <xf numFmtId="0" fontId="28" fillId="0" borderId="1" xfId="0" applyFont="1" applyBorder="1" applyAlignment="1">
      <alignment horizontal="right" vertical="top"/>
    </xf>
    <xf numFmtId="4" fontId="27" fillId="0" borderId="1" xfId="0" applyNumberFormat="1" applyFont="1" applyBorder="1" applyAlignment="1">
      <alignment horizontal="right" vertical="top"/>
    </xf>
    <xf numFmtId="0" fontId="27" fillId="0" borderId="1" xfId="0" applyFont="1" applyBorder="1" applyAlignment="1">
      <alignment horizontal="left" vertical="top" indent="2"/>
    </xf>
    <xf numFmtId="0" fontId="27" fillId="0" borderId="1" xfId="0" applyFont="1" applyBorder="1"/>
    <xf numFmtId="0" fontId="28" fillId="0" borderId="1" xfId="0" applyFont="1" applyBorder="1" applyAlignment="1">
      <alignment vertical="top"/>
    </xf>
    <xf numFmtId="0" fontId="26" fillId="0" borderId="1" xfId="0" applyFont="1" applyBorder="1" applyAlignment="1">
      <alignment horizontal="left" vertical="top"/>
    </xf>
    <xf numFmtId="4" fontId="26" fillId="0" borderId="1" xfId="0" applyNumberFormat="1" applyFont="1" applyBorder="1"/>
    <xf numFmtId="4" fontId="27" fillId="0" borderId="1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indent="3"/>
    </xf>
    <xf numFmtId="0" fontId="26" fillId="0" borderId="1" xfId="0" applyFont="1" applyBorder="1"/>
    <xf numFmtId="0" fontId="27" fillId="0" borderId="1" xfId="0" applyFont="1" applyBorder="1" applyAlignment="1">
      <alignment horizontal="right"/>
    </xf>
    <xf numFmtId="43" fontId="0" fillId="0" borderId="1" xfId="1" applyFont="1" applyFill="1" applyBorder="1"/>
    <xf numFmtId="0" fontId="4" fillId="0" borderId="3" xfId="0" applyFont="1" applyFill="1" applyBorder="1" applyAlignment="1">
      <alignment horizontal="center"/>
    </xf>
    <xf numFmtId="43" fontId="0" fillId="0" borderId="0" xfId="1" applyFont="1" applyFill="1"/>
    <xf numFmtId="43" fontId="0" fillId="6" borderId="0" xfId="1" applyFont="1" applyFill="1"/>
    <xf numFmtId="43" fontId="5" fillId="0" borderId="0" xfId="1" applyFont="1" applyFill="1"/>
    <xf numFmtId="4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4" fontId="1" fillId="0" borderId="0" xfId="2" applyFont="1"/>
    <xf numFmtId="4" fontId="27" fillId="0" borderId="1" xfId="0" applyNumberFormat="1" applyFont="1" applyBorder="1" applyAlignment="1">
      <alignment horizontal="right"/>
    </xf>
    <xf numFmtId="43" fontId="27" fillId="0" borderId="1" xfId="0" applyNumberFormat="1" applyFont="1" applyBorder="1" applyAlignment="1">
      <alignment horizontal="right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/>
    <xf numFmtId="166" fontId="26" fillId="0" borderId="0" xfId="0" applyNumberFormat="1" applyFont="1" applyFill="1" applyBorder="1" applyAlignment="1">
      <alignment horizontal="center" vertical="top" wrapText="1"/>
    </xf>
    <xf numFmtId="4" fontId="26" fillId="0" borderId="0" xfId="0" applyNumberFormat="1" applyFont="1"/>
    <xf numFmtId="0" fontId="27" fillId="0" borderId="1" xfId="0" applyFont="1" applyBorder="1" applyAlignment="1">
      <alignment horizontal="center" vertical="top"/>
    </xf>
    <xf numFmtId="0" fontId="28" fillId="0" borderId="1" xfId="0" applyFont="1" applyBorder="1"/>
    <xf numFmtId="43" fontId="27" fillId="0" borderId="1" xfId="0" applyNumberFormat="1" applyFont="1" applyBorder="1"/>
    <xf numFmtId="0" fontId="27" fillId="0" borderId="1" xfId="0" applyFont="1" applyBorder="1" applyAlignment="1">
      <alignment horizontal="left" vertical="top" indent="1"/>
    </xf>
    <xf numFmtId="43" fontId="27" fillId="0" borderId="1" xfId="0" applyNumberFormat="1" applyFont="1" applyBorder="1" applyAlignment="1">
      <alignment horizontal="right" vertical="top"/>
    </xf>
    <xf numFmtId="43" fontId="1" fillId="0" borderId="1" xfId="1" applyFont="1" applyFill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8" fillId="0" borderId="1" xfId="1" applyFont="1" applyBorder="1" applyAlignment="1">
      <alignment horizontal="center" vertical="top"/>
    </xf>
    <xf numFmtId="166" fontId="26" fillId="0" borderId="0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horizontal="left"/>
    </xf>
    <xf numFmtId="4" fontId="15" fillId="0" borderId="1" xfId="0" applyNumberFormat="1" applyFont="1" applyBorder="1" applyAlignment="1">
      <alignment horizontal="center" vertical="center"/>
    </xf>
    <xf numFmtId="43" fontId="27" fillId="0" borderId="1" xfId="1" applyFont="1" applyBorder="1" applyAlignment="1">
      <alignment horizontal="right" vertical="top"/>
    </xf>
    <xf numFmtId="43" fontId="27" fillId="0" borderId="1" xfId="1" applyFont="1" applyBorder="1"/>
    <xf numFmtId="43" fontId="2" fillId="0" borderId="1" xfId="0" applyNumberFormat="1" applyFont="1" applyFill="1" applyBorder="1"/>
    <xf numFmtId="0" fontId="14" fillId="0" borderId="1" xfId="0" applyFont="1" applyBorder="1" applyAlignment="1">
      <alignment horizontal="left" vertical="center" indent="2"/>
    </xf>
    <xf numFmtId="0" fontId="28" fillId="0" borderId="0" xfId="0" applyFont="1" applyFill="1" applyBorder="1" applyAlignment="1">
      <alignment horizontal="center" vertical="top" wrapText="1"/>
    </xf>
    <xf numFmtId="4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6" fillId="11" borderId="1" xfId="0" applyFont="1" applyFill="1" applyBorder="1" applyAlignment="1">
      <alignment horizontal="center" vertical="top" wrapText="1"/>
    </xf>
    <xf numFmtId="3" fontId="26" fillId="0" borderId="1" xfId="0" applyNumberFormat="1" applyFont="1" applyBorder="1" applyAlignment="1">
      <alignment horizontal="center" vertical="top" wrapText="1"/>
    </xf>
    <xf numFmtId="166" fontId="26" fillId="0" borderId="1" xfId="0" applyNumberFormat="1" applyFont="1" applyBorder="1" applyAlignment="1">
      <alignment horizontal="center" vertical="top" wrapText="1"/>
    </xf>
    <xf numFmtId="0" fontId="28" fillId="11" borderId="1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43" fontId="14" fillId="0" borderId="10" xfId="1" applyFont="1" applyFill="1" applyBorder="1" applyAlignment="1"/>
    <xf numFmtId="43" fontId="14" fillId="0" borderId="11" xfId="1" applyFont="1" applyFill="1" applyBorder="1" applyAlignment="1"/>
    <xf numFmtId="0" fontId="4" fillId="0" borderId="0" xfId="0" applyFont="1" applyAlignment="1">
      <alignment horizontal="center" wrapText="1"/>
    </xf>
    <xf numFmtId="164" fontId="0" fillId="0" borderId="0" xfId="1" applyNumberFormat="1" applyFont="1" applyBorder="1"/>
  </cellXfs>
  <cellStyles count="7">
    <cellStyle name="Moeda" xfId="2" builtinId="4"/>
    <cellStyle name="Moeda 2" xfId="3"/>
    <cellStyle name="Normal" xfId="0" builtinId="0"/>
    <cellStyle name="Normal 2" xfId="6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7"/>
  <sheetViews>
    <sheetView showGridLines="0" zoomScaleNormal="100" workbookViewId="0">
      <selection activeCell="D23" sqref="D23"/>
    </sheetView>
  </sheetViews>
  <sheetFormatPr defaultColWidth="13.5703125" defaultRowHeight="15" x14ac:dyDescent="0.25"/>
  <cols>
    <col min="1" max="1" width="39.42578125" style="10" customWidth="1"/>
    <col min="2" max="5" width="13.5703125" style="10"/>
    <col min="6" max="6" width="12" style="10" customWidth="1"/>
    <col min="7" max="16384" width="13.5703125" style="10"/>
  </cols>
  <sheetData>
    <row r="3" spans="1:10" x14ac:dyDescent="0.25">
      <c r="A3" s="199" t="s">
        <v>123</v>
      </c>
      <c r="B3" s="199"/>
      <c r="C3" s="199"/>
      <c r="D3" s="199"/>
      <c r="E3" s="199"/>
      <c r="F3" s="199"/>
      <c r="G3" s="199"/>
    </row>
    <row r="4" spans="1:10" x14ac:dyDescent="0.25">
      <c r="A4" s="199" t="s">
        <v>152</v>
      </c>
      <c r="B4" s="199"/>
      <c r="C4" s="199"/>
      <c r="D4" s="199"/>
      <c r="E4" s="199"/>
      <c r="F4" s="199"/>
      <c r="G4" s="199"/>
    </row>
    <row r="5" spans="1:10" x14ac:dyDescent="0.25">
      <c r="A5" s="199" t="s">
        <v>94</v>
      </c>
      <c r="B5" s="199"/>
      <c r="C5" s="199"/>
      <c r="D5" s="199"/>
      <c r="E5" s="199"/>
      <c r="F5" s="199"/>
      <c r="G5" s="199"/>
    </row>
    <row r="6" spans="1:10" ht="12.75" customHeight="1" x14ac:dyDescent="0.25">
      <c r="A6" s="82"/>
      <c r="B6" s="82"/>
      <c r="C6" s="82"/>
      <c r="D6" s="82"/>
      <c r="E6" s="94"/>
      <c r="F6" s="82"/>
      <c r="G6" s="82"/>
    </row>
    <row r="7" spans="1:10" s="67" customFormat="1" ht="27" customHeight="1" x14ac:dyDescent="0.25">
      <c r="A7" s="65"/>
      <c r="B7" s="65"/>
      <c r="C7" s="66" t="s">
        <v>124</v>
      </c>
      <c r="D7" s="164" t="s">
        <v>125</v>
      </c>
      <c r="E7" s="95"/>
      <c r="F7" s="83"/>
      <c r="G7" s="65"/>
    </row>
    <row r="8" spans="1:10" ht="45" customHeight="1" x14ac:dyDescent="0.25">
      <c r="A8" s="68" t="s">
        <v>126</v>
      </c>
      <c r="B8" s="68" t="s">
        <v>82</v>
      </c>
      <c r="C8" s="68" t="s">
        <v>127</v>
      </c>
      <c r="D8" s="68" t="s">
        <v>83</v>
      </c>
      <c r="E8" s="68" t="s">
        <v>128</v>
      </c>
      <c r="F8" s="68" t="s">
        <v>154</v>
      </c>
      <c r="G8" s="68" t="s">
        <v>153</v>
      </c>
      <c r="H8" s="68" t="s">
        <v>34</v>
      </c>
    </row>
    <row r="9" spans="1:10" x14ac:dyDescent="0.25">
      <c r="A9" s="69" t="s">
        <v>129</v>
      </c>
      <c r="B9" s="70">
        <f>dados!H19</f>
        <v>50000</v>
      </c>
      <c r="C9" s="70"/>
      <c r="D9" s="70">
        <f>dados!H23</f>
        <v>10300</v>
      </c>
      <c r="E9" s="70"/>
      <c r="F9" s="70"/>
      <c r="G9" s="70">
        <v>0</v>
      </c>
      <c r="H9" s="71">
        <f t="shared" ref="H9:H17" si="0">SUM(B9:G9)</f>
        <v>60300</v>
      </c>
    </row>
    <row r="10" spans="1:10" x14ac:dyDescent="0.25">
      <c r="A10" s="72" t="s">
        <v>130</v>
      </c>
      <c r="B10" s="182">
        <f>Lançamentos!B79</f>
        <v>250000</v>
      </c>
      <c r="C10" s="182">
        <f>Lançamentos!B80</f>
        <v>75000</v>
      </c>
      <c r="D10" s="182"/>
      <c r="E10" s="182"/>
      <c r="F10" s="182"/>
      <c r="G10" s="182"/>
      <c r="H10" s="71">
        <f t="shared" si="0"/>
        <v>325000</v>
      </c>
    </row>
    <row r="11" spans="1:10" x14ac:dyDescent="0.25">
      <c r="A11" s="73" t="s">
        <v>158</v>
      </c>
      <c r="B11" s="183"/>
      <c r="C11" s="183"/>
      <c r="D11" s="183"/>
      <c r="E11" s="183"/>
      <c r="F11" s="183"/>
      <c r="G11" s="183"/>
      <c r="H11" s="71">
        <f t="shared" si="0"/>
        <v>0</v>
      </c>
    </row>
    <row r="12" spans="1:10" x14ac:dyDescent="0.25">
      <c r="A12" s="73" t="s">
        <v>131</v>
      </c>
      <c r="B12" s="183"/>
      <c r="C12" s="183"/>
      <c r="D12" s="183"/>
      <c r="E12" s="183"/>
      <c r="F12" s="4"/>
      <c r="G12" s="183">
        <f>'DRE 2013'!F37</f>
        <v>17304.583792473924</v>
      </c>
      <c r="H12" s="71">
        <f t="shared" si="0"/>
        <v>17304.583792473924</v>
      </c>
    </row>
    <row r="13" spans="1:10" x14ac:dyDescent="0.25">
      <c r="A13" s="73" t="s">
        <v>132</v>
      </c>
      <c r="B13" s="183"/>
      <c r="C13" s="183"/>
      <c r="D13" s="183"/>
      <c r="E13" s="183"/>
      <c r="F13" s="4"/>
      <c r="G13" s="183"/>
      <c r="H13" s="71">
        <f t="shared" si="0"/>
        <v>0</v>
      </c>
    </row>
    <row r="14" spans="1:10" x14ac:dyDescent="0.25">
      <c r="A14" s="74" t="s">
        <v>83</v>
      </c>
      <c r="B14" s="183"/>
      <c r="C14" s="183"/>
      <c r="D14" s="184">
        <f>-G14</f>
        <v>865.22918962369624</v>
      </c>
      <c r="E14" s="183"/>
      <c r="F14" s="4"/>
      <c r="G14" s="183">
        <f>Lançamentos!B139</f>
        <v>-865.22918962369624</v>
      </c>
      <c r="H14" s="71">
        <f t="shared" si="0"/>
        <v>0</v>
      </c>
    </row>
    <row r="15" spans="1:10" x14ac:dyDescent="0.25">
      <c r="A15" s="74" t="s">
        <v>159</v>
      </c>
      <c r="B15" s="183"/>
      <c r="C15" s="183"/>
      <c r="D15" s="183"/>
      <c r="E15" s="183">
        <f>-G15</f>
        <v>6575.7418411400922</v>
      </c>
      <c r="F15" s="4"/>
      <c r="G15" s="183">
        <f>-Lançamentos!B141</f>
        <v>-6575.7418411400922</v>
      </c>
      <c r="H15" s="71">
        <f t="shared" si="0"/>
        <v>0</v>
      </c>
    </row>
    <row r="16" spans="1:10" x14ac:dyDescent="0.25">
      <c r="A16" s="73" t="s">
        <v>133</v>
      </c>
      <c r="B16" s="183"/>
      <c r="C16" s="183"/>
      <c r="D16" s="183"/>
      <c r="E16" s="183"/>
      <c r="F16" s="4"/>
      <c r="G16" s="183">
        <f>Lançamentos!B140</f>
        <v>-9863.6127617101356</v>
      </c>
      <c r="H16" s="71">
        <f t="shared" si="0"/>
        <v>-9863.6127617101356</v>
      </c>
      <c r="I16" s="10" t="s">
        <v>151</v>
      </c>
      <c r="J16" s="81">
        <f>SUM(H9:H16)</f>
        <v>392740.97103076382</v>
      </c>
    </row>
    <row r="17" spans="1:10" x14ac:dyDescent="0.25">
      <c r="A17" s="75" t="s">
        <v>19</v>
      </c>
      <c r="B17" s="71">
        <f t="shared" ref="B17:G17" si="1">SUM(B9:B16)</f>
        <v>300000</v>
      </c>
      <c r="C17" s="71">
        <f t="shared" si="1"/>
        <v>75000</v>
      </c>
      <c r="D17" s="71">
        <f t="shared" si="1"/>
        <v>11165.229189623697</v>
      </c>
      <c r="E17" s="71">
        <f t="shared" si="1"/>
        <v>6575.7418411400922</v>
      </c>
      <c r="F17" s="71">
        <f t="shared" si="1"/>
        <v>0</v>
      </c>
      <c r="G17" s="71">
        <f t="shared" si="1"/>
        <v>0</v>
      </c>
      <c r="H17" s="71">
        <f t="shared" si="0"/>
        <v>392740.97103076376</v>
      </c>
      <c r="I17" s="93"/>
      <c r="J17" s="81">
        <f>J16-H17</f>
        <v>0</v>
      </c>
    </row>
  </sheetData>
  <mergeCells count="3">
    <mergeCell ref="A4:G4"/>
    <mergeCell ref="A5:G5"/>
    <mergeCell ref="A3:G3"/>
  </mergeCells>
  <pageMargins left="0.511811024" right="0.511811024" top="0.78740157499999996" bottom="0.78740157499999996" header="0.31496062000000002" footer="0.31496062000000002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5" zoomScale="170" zoomScaleNormal="170" workbookViewId="0">
      <selection activeCell="A21" sqref="A21"/>
    </sheetView>
  </sheetViews>
  <sheetFormatPr defaultRowHeight="15" x14ac:dyDescent="0.25"/>
  <cols>
    <col min="1" max="1" width="48.85546875" style="104" customWidth="1"/>
    <col min="2" max="2" width="11" style="146" bestFit="1" customWidth="1"/>
    <col min="3" max="3" width="11.140625" style="103" bestFit="1" customWidth="1"/>
    <col min="4" max="4" width="9.140625" style="10"/>
    <col min="5" max="5" width="11.28515625" style="10" customWidth="1"/>
    <col min="6" max="256" width="9.140625" style="10"/>
    <col min="257" max="257" width="48.85546875" style="10" customWidth="1"/>
    <col min="258" max="258" width="11" style="10" bestFit="1" customWidth="1"/>
    <col min="259" max="259" width="11.140625" style="10" bestFit="1" customWidth="1"/>
    <col min="260" max="260" width="9.140625" style="10"/>
    <col min="261" max="261" width="11.28515625" style="10" customWidth="1"/>
    <col min="262" max="512" width="9.140625" style="10"/>
    <col min="513" max="513" width="48.85546875" style="10" customWidth="1"/>
    <col min="514" max="514" width="11" style="10" bestFit="1" customWidth="1"/>
    <col min="515" max="515" width="11.140625" style="10" bestFit="1" customWidth="1"/>
    <col min="516" max="516" width="9.140625" style="10"/>
    <col min="517" max="517" width="11.28515625" style="10" customWidth="1"/>
    <col min="518" max="768" width="9.140625" style="10"/>
    <col min="769" max="769" width="48.85546875" style="10" customWidth="1"/>
    <col min="770" max="770" width="11" style="10" bestFit="1" customWidth="1"/>
    <col min="771" max="771" width="11.140625" style="10" bestFit="1" customWidth="1"/>
    <col min="772" max="772" width="9.140625" style="10"/>
    <col min="773" max="773" width="11.28515625" style="10" customWidth="1"/>
    <col min="774" max="1024" width="9.140625" style="10"/>
    <col min="1025" max="1025" width="48.85546875" style="10" customWidth="1"/>
    <col min="1026" max="1026" width="11" style="10" bestFit="1" customWidth="1"/>
    <col min="1027" max="1027" width="11.140625" style="10" bestFit="1" customWidth="1"/>
    <col min="1028" max="1028" width="9.140625" style="10"/>
    <col min="1029" max="1029" width="11.28515625" style="10" customWidth="1"/>
    <col min="1030" max="1280" width="9.140625" style="10"/>
    <col min="1281" max="1281" width="48.85546875" style="10" customWidth="1"/>
    <col min="1282" max="1282" width="11" style="10" bestFit="1" customWidth="1"/>
    <col min="1283" max="1283" width="11.140625" style="10" bestFit="1" customWidth="1"/>
    <col min="1284" max="1284" width="9.140625" style="10"/>
    <col min="1285" max="1285" width="11.28515625" style="10" customWidth="1"/>
    <col min="1286" max="1536" width="9.140625" style="10"/>
    <col min="1537" max="1537" width="48.85546875" style="10" customWidth="1"/>
    <col min="1538" max="1538" width="11" style="10" bestFit="1" customWidth="1"/>
    <col min="1539" max="1539" width="11.140625" style="10" bestFit="1" customWidth="1"/>
    <col min="1540" max="1540" width="9.140625" style="10"/>
    <col min="1541" max="1541" width="11.28515625" style="10" customWidth="1"/>
    <col min="1542" max="1792" width="9.140625" style="10"/>
    <col min="1793" max="1793" width="48.85546875" style="10" customWidth="1"/>
    <col min="1794" max="1794" width="11" style="10" bestFit="1" customWidth="1"/>
    <col min="1795" max="1795" width="11.140625" style="10" bestFit="1" customWidth="1"/>
    <col min="1796" max="1796" width="9.140625" style="10"/>
    <col min="1797" max="1797" width="11.28515625" style="10" customWidth="1"/>
    <col min="1798" max="2048" width="9.140625" style="10"/>
    <col min="2049" max="2049" width="48.85546875" style="10" customWidth="1"/>
    <col min="2050" max="2050" width="11" style="10" bestFit="1" customWidth="1"/>
    <col min="2051" max="2051" width="11.140625" style="10" bestFit="1" customWidth="1"/>
    <col min="2052" max="2052" width="9.140625" style="10"/>
    <col min="2053" max="2053" width="11.28515625" style="10" customWidth="1"/>
    <col min="2054" max="2304" width="9.140625" style="10"/>
    <col min="2305" max="2305" width="48.85546875" style="10" customWidth="1"/>
    <col min="2306" max="2306" width="11" style="10" bestFit="1" customWidth="1"/>
    <col min="2307" max="2307" width="11.140625" style="10" bestFit="1" customWidth="1"/>
    <col min="2308" max="2308" width="9.140625" style="10"/>
    <col min="2309" max="2309" width="11.28515625" style="10" customWidth="1"/>
    <col min="2310" max="2560" width="9.140625" style="10"/>
    <col min="2561" max="2561" width="48.85546875" style="10" customWidth="1"/>
    <col min="2562" max="2562" width="11" style="10" bestFit="1" customWidth="1"/>
    <col min="2563" max="2563" width="11.140625" style="10" bestFit="1" customWidth="1"/>
    <col min="2564" max="2564" width="9.140625" style="10"/>
    <col min="2565" max="2565" width="11.28515625" style="10" customWidth="1"/>
    <col min="2566" max="2816" width="9.140625" style="10"/>
    <col min="2817" max="2817" width="48.85546875" style="10" customWidth="1"/>
    <col min="2818" max="2818" width="11" style="10" bestFit="1" customWidth="1"/>
    <col min="2819" max="2819" width="11.140625" style="10" bestFit="1" customWidth="1"/>
    <col min="2820" max="2820" width="9.140625" style="10"/>
    <col min="2821" max="2821" width="11.28515625" style="10" customWidth="1"/>
    <col min="2822" max="3072" width="9.140625" style="10"/>
    <col min="3073" max="3073" width="48.85546875" style="10" customWidth="1"/>
    <col min="3074" max="3074" width="11" style="10" bestFit="1" customWidth="1"/>
    <col min="3075" max="3075" width="11.140625" style="10" bestFit="1" customWidth="1"/>
    <col min="3076" max="3076" width="9.140625" style="10"/>
    <col min="3077" max="3077" width="11.28515625" style="10" customWidth="1"/>
    <col min="3078" max="3328" width="9.140625" style="10"/>
    <col min="3329" max="3329" width="48.85546875" style="10" customWidth="1"/>
    <col min="3330" max="3330" width="11" style="10" bestFit="1" customWidth="1"/>
    <col min="3331" max="3331" width="11.140625" style="10" bestFit="1" customWidth="1"/>
    <col min="3332" max="3332" width="9.140625" style="10"/>
    <col min="3333" max="3333" width="11.28515625" style="10" customWidth="1"/>
    <col min="3334" max="3584" width="9.140625" style="10"/>
    <col min="3585" max="3585" width="48.85546875" style="10" customWidth="1"/>
    <col min="3586" max="3586" width="11" style="10" bestFit="1" customWidth="1"/>
    <col min="3587" max="3587" width="11.140625" style="10" bestFit="1" customWidth="1"/>
    <col min="3588" max="3588" width="9.140625" style="10"/>
    <col min="3589" max="3589" width="11.28515625" style="10" customWidth="1"/>
    <col min="3590" max="3840" width="9.140625" style="10"/>
    <col min="3841" max="3841" width="48.85546875" style="10" customWidth="1"/>
    <col min="3842" max="3842" width="11" style="10" bestFit="1" customWidth="1"/>
    <col min="3843" max="3843" width="11.140625" style="10" bestFit="1" customWidth="1"/>
    <col min="3844" max="3844" width="9.140625" style="10"/>
    <col min="3845" max="3845" width="11.28515625" style="10" customWidth="1"/>
    <col min="3846" max="4096" width="9.140625" style="10"/>
    <col min="4097" max="4097" width="48.85546875" style="10" customWidth="1"/>
    <col min="4098" max="4098" width="11" style="10" bestFit="1" customWidth="1"/>
    <col min="4099" max="4099" width="11.140625" style="10" bestFit="1" customWidth="1"/>
    <col min="4100" max="4100" width="9.140625" style="10"/>
    <col min="4101" max="4101" width="11.28515625" style="10" customWidth="1"/>
    <col min="4102" max="4352" width="9.140625" style="10"/>
    <col min="4353" max="4353" width="48.85546875" style="10" customWidth="1"/>
    <col min="4354" max="4354" width="11" style="10" bestFit="1" customWidth="1"/>
    <col min="4355" max="4355" width="11.140625" style="10" bestFit="1" customWidth="1"/>
    <col min="4356" max="4356" width="9.140625" style="10"/>
    <col min="4357" max="4357" width="11.28515625" style="10" customWidth="1"/>
    <col min="4358" max="4608" width="9.140625" style="10"/>
    <col min="4609" max="4609" width="48.85546875" style="10" customWidth="1"/>
    <col min="4610" max="4610" width="11" style="10" bestFit="1" customWidth="1"/>
    <col min="4611" max="4611" width="11.140625" style="10" bestFit="1" customWidth="1"/>
    <col min="4612" max="4612" width="9.140625" style="10"/>
    <col min="4613" max="4613" width="11.28515625" style="10" customWidth="1"/>
    <col min="4614" max="4864" width="9.140625" style="10"/>
    <col min="4865" max="4865" width="48.85546875" style="10" customWidth="1"/>
    <col min="4866" max="4866" width="11" style="10" bestFit="1" customWidth="1"/>
    <col min="4867" max="4867" width="11.140625" style="10" bestFit="1" customWidth="1"/>
    <col min="4868" max="4868" width="9.140625" style="10"/>
    <col min="4869" max="4869" width="11.28515625" style="10" customWidth="1"/>
    <col min="4870" max="5120" width="9.140625" style="10"/>
    <col min="5121" max="5121" width="48.85546875" style="10" customWidth="1"/>
    <col min="5122" max="5122" width="11" style="10" bestFit="1" customWidth="1"/>
    <col min="5123" max="5123" width="11.140625" style="10" bestFit="1" customWidth="1"/>
    <col min="5124" max="5124" width="9.140625" style="10"/>
    <col min="5125" max="5125" width="11.28515625" style="10" customWidth="1"/>
    <col min="5126" max="5376" width="9.140625" style="10"/>
    <col min="5377" max="5377" width="48.85546875" style="10" customWidth="1"/>
    <col min="5378" max="5378" width="11" style="10" bestFit="1" customWidth="1"/>
    <col min="5379" max="5379" width="11.140625" style="10" bestFit="1" customWidth="1"/>
    <col min="5380" max="5380" width="9.140625" style="10"/>
    <col min="5381" max="5381" width="11.28515625" style="10" customWidth="1"/>
    <col min="5382" max="5632" width="9.140625" style="10"/>
    <col min="5633" max="5633" width="48.85546875" style="10" customWidth="1"/>
    <col min="5634" max="5634" width="11" style="10" bestFit="1" customWidth="1"/>
    <col min="5635" max="5635" width="11.140625" style="10" bestFit="1" customWidth="1"/>
    <col min="5636" max="5636" width="9.140625" style="10"/>
    <col min="5637" max="5637" width="11.28515625" style="10" customWidth="1"/>
    <col min="5638" max="5888" width="9.140625" style="10"/>
    <col min="5889" max="5889" width="48.85546875" style="10" customWidth="1"/>
    <col min="5890" max="5890" width="11" style="10" bestFit="1" customWidth="1"/>
    <col min="5891" max="5891" width="11.140625" style="10" bestFit="1" customWidth="1"/>
    <col min="5892" max="5892" width="9.140625" style="10"/>
    <col min="5893" max="5893" width="11.28515625" style="10" customWidth="1"/>
    <col min="5894" max="6144" width="9.140625" style="10"/>
    <col min="6145" max="6145" width="48.85546875" style="10" customWidth="1"/>
    <col min="6146" max="6146" width="11" style="10" bestFit="1" customWidth="1"/>
    <col min="6147" max="6147" width="11.140625" style="10" bestFit="1" customWidth="1"/>
    <col min="6148" max="6148" width="9.140625" style="10"/>
    <col min="6149" max="6149" width="11.28515625" style="10" customWidth="1"/>
    <col min="6150" max="6400" width="9.140625" style="10"/>
    <col min="6401" max="6401" width="48.85546875" style="10" customWidth="1"/>
    <col min="6402" max="6402" width="11" style="10" bestFit="1" customWidth="1"/>
    <col min="6403" max="6403" width="11.140625" style="10" bestFit="1" customWidth="1"/>
    <col min="6404" max="6404" width="9.140625" style="10"/>
    <col min="6405" max="6405" width="11.28515625" style="10" customWidth="1"/>
    <col min="6406" max="6656" width="9.140625" style="10"/>
    <col min="6657" max="6657" width="48.85546875" style="10" customWidth="1"/>
    <col min="6658" max="6658" width="11" style="10" bestFit="1" customWidth="1"/>
    <col min="6659" max="6659" width="11.140625" style="10" bestFit="1" customWidth="1"/>
    <col min="6660" max="6660" width="9.140625" style="10"/>
    <col min="6661" max="6661" width="11.28515625" style="10" customWidth="1"/>
    <col min="6662" max="6912" width="9.140625" style="10"/>
    <col min="6913" max="6913" width="48.85546875" style="10" customWidth="1"/>
    <col min="6914" max="6914" width="11" style="10" bestFit="1" customWidth="1"/>
    <col min="6915" max="6915" width="11.140625" style="10" bestFit="1" customWidth="1"/>
    <col min="6916" max="6916" width="9.140625" style="10"/>
    <col min="6917" max="6917" width="11.28515625" style="10" customWidth="1"/>
    <col min="6918" max="7168" width="9.140625" style="10"/>
    <col min="7169" max="7169" width="48.85546875" style="10" customWidth="1"/>
    <col min="7170" max="7170" width="11" style="10" bestFit="1" customWidth="1"/>
    <col min="7171" max="7171" width="11.140625" style="10" bestFit="1" customWidth="1"/>
    <col min="7172" max="7172" width="9.140625" style="10"/>
    <col min="7173" max="7173" width="11.28515625" style="10" customWidth="1"/>
    <col min="7174" max="7424" width="9.140625" style="10"/>
    <col min="7425" max="7425" width="48.85546875" style="10" customWidth="1"/>
    <col min="7426" max="7426" width="11" style="10" bestFit="1" customWidth="1"/>
    <col min="7427" max="7427" width="11.140625" style="10" bestFit="1" customWidth="1"/>
    <col min="7428" max="7428" width="9.140625" style="10"/>
    <col min="7429" max="7429" width="11.28515625" style="10" customWidth="1"/>
    <col min="7430" max="7680" width="9.140625" style="10"/>
    <col min="7681" max="7681" width="48.85546875" style="10" customWidth="1"/>
    <col min="7682" max="7682" width="11" style="10" bestFit="1" customWidth="1"/>
    <col min="7683" max="7683" width="11.140625" style="10" bestFit="1" customWidth="1"/>
    <col min="7684" max="7684" width="9.140625" style="10"/>
    <col min="7685" max="7685" width="11.28515625" style="10" customWidth="1"/>
    <col min="7686" max="7936" width="9.140625" style="10"/>
    <col min="7937" max="7937" width="48.85546875" style="10" customWidth="1"/>
    <col min="7938" max="7938" width="11" style="10" bestFit="1" customWidth="1"/>
    <col min="7939" max="7939" width="11.140625" style="10" bestFit="1" customWidth="1"/>
    <col min="7940" max="7940" width="9.140625" style="10"/>
    <col min="7941" max="7941" width="11.28515625" style="10" customWidth="1"/>
    <col min="7942" max="8192" width="9.140625" style="10"/>
    <col min="8193" max="8193" width="48.85546875" style="10" customWidth="1"/>
    <col min="8194" max="8194" width="11" style="10" bestFit="1" customWidth="1"/>
    <col min="8195" max="8195" width="11.140625" style="10" bestFit="1" customWidth="1"/>
    <col min="8196" max="8196" width="9.140625" style="10"/>
    <col min="8197" max="8197" width="11.28515625" style="10" customWidth="1"/>
    <col min="8198" max="8448" width="9.140625" style="10"/>
    <col min="8449" max="8449" width="48.85546875" style="10" customWidth="1"/>
    <col min="8450" max="8450" width="11" style="10" bestFit="1" customWidth="1"/>
    <col min="8451" max="8451" width="11.140625" style="10" bestFit="1" customWidth="1"/>
    <col min="8452" max="8452" width="9.140625" style="10"/>
    <col min="8453" max="8453" width="11.28515625" style="10" customWidth="1"/>
    <col min="8454" max="8704" width="9.140625" style="10"/>
    <col min="8705" max="8705" width="48.85546875" style="10" customWidth="1"/>
    <col min="8706" max="8706" width="11" style="10" bestFit="1" customWidth="1"/>
    <col min="8707" max="8707" width="11.140625" style="10" bestFit="1" customWidth="1"/>
    <col min="8708" max="8708" width="9.140625" style="10"/>
    <col min="8709" max="8709" width="11.28515625" style="10" customWidth="1"/>
    <col min="8710" max="8960" width="9.140625" style="10"/>
    <col min="8961" max="8961" width="48.85546875" style="10" customWidth="1"/>
    <col min="8962" max="8962" width="11" style="10" bestFit="1" customWidth="1"/>
    <col min="8963" max="8963" width="11.140625" style="10" bestFit="1" customWidth="1"/>
    <col min="8964" max="8964" width="9.140625" style="10"/>
    <col min="8965" max="8965" width="11.28515625" style="10" customWidth="1"/>
    <col min="8966" max="9216" width="9.140625" style="10"/>
    <col min="9217" max="9217" width="48.85546875" style="10" customWidth="1"/>
    <col min="9218" max="9218" width="11" style="10" bestFit="1" customWidth="1"/>
    <col min="9219" max="9219" width="11.140625" style="10" bestFit="1" customWidth="1"/>
    <col min="9220" max="9220" width="9.140625" style="10"/>
    <col min="9221" max="9221" width="11.28515625" style="10" customWidth="1"/>
    <col min="9222" max="9472" width="9.140625" style="10"/>
    <col min="9473" max="9473" width="48.85546875" style="10" customWidth="1"/>
    <col min="9474" max="9474" width="11" style="10" bestFit="1" customWidth="1"/>
    <col min="9475" max="9475" width="11.140625" style="10" bestFit="1" customWidth="1"/>
    <col min="9476" max="9476" width="9.140625" style="10"/>
    <col min="9477" max="9477" width="11.28515625" style="10" customWidth="1"/>
    <col min="9478" max="9728" width="9.140625" style="10"/>
    <col min="9729" max="9729" width="48.85546875" style="10" customWidth="1"/>
    <col min="9730" max="9730" width="11" style="10" bestFit="1" customWidth="1"/>
    <col min="9731" max="9731" width="11.140625" style="10" bestFit="1" customWidth="1"/>
    <col min="9732" max="9732" width="9.140625" style="10"/>
    <col min="9733" max="9733" width="11.28515625" style="10" customWidth="1"/>
    <col min="9734" max="9984" width="9.140625" style="10"/>
    <col min="9985" max="9985" width="48.85546875" style="10" customWidth="1"/>
    <col min="9986" max="9986" width="11" style="10" bestFit="1" customWidth="1"/>
    <col min="9987" max="9987" width="11.140625" style="10" bestFit="1" customWidth="1"/>
    <col min="9988" max="9988" width="9.140625" style="10"/>
    <col min="9989" max="9989" width="11.28515625" style="10" customWidth="1"/>
    <col min="9990" max="10240" width="9.140625" style="10"/>
    <col min="10241" max="10241" width="48.85546875" style="10" customWidth="1"/>
    <col min="10242" max="10242" width="11" style="10" bestFit="1" customWidth="1"/>
    <col min="10243" max="10243" width="11.140625" style="10" bestFit="1" customWidth="1"/>
    <col min="10244" max="10244" width="9.140625" style="10"/>
    <col min="10245" max="10245" width="11.28515625" style="10" customWidth="1"/>
    <col min="10246" max="10496" width="9.140625" style="10"/>
    <col min="10497" max="10497" width="48.85546875" style="10" customWidth="1"/>
    <col min="10498" max="10498" width="11" style="10" bestFit="1" customWidth="1"/>
    <col min="10499" max="10499" width="11.140625" style="10" bestFit="1" customWidth="1"/>
    <col min="10500" max="10500" width="9.140625" style="10"/>
    <col min="10501" max="10501" width="11.28515625" style="10" customWidth="1"/>
    <col min="10502" max="10752" width="9.140625" style="10"/>
    <col min="10753" max="10753" width="48.85546875" style="10" customWidth="1"/>
    <col min="10754" max="10754" width="11" style="10" bestFit="1" customWidth="1"/>
    <col min="10755" max="10755" width="11.140625" style="10" bestFit="1" customWidth="1"/>
    <col min="10756" max="10756" width="9.140625" style="10"/>
    <col min="10757" max="10757" width="11.28515625" style="10" customWidth="1"/>
    <col min="10758" max="11008" width="9.140625" style="10"/>
    <col min="11009" max="11009" width="48.85546875" style="10" customWidth="1"/>
    <col min="11010" max="11010" width="11" style="10" bestFit="1" customWidth="1"/>
    <col min="11011" max="11011" width="11.140625" style="10" bestFit="1" customWidth="1"/>
    <col min="11012" max="11012" width="9.140625" style="10"/>
    <col min="11013" max="11013" width="11.28515625" style="10" customWidth="1"/>
    <col min="11014" max="11264" width="9.140625" style="10"/>
    <col min="11265" max="11265" width="48.85546875" style="10" customWidth="1"/>
    <col min="11266" max="11266" width="11" style="10" bestFit="1" customWidth="1"/>
    <col min="11267" max="11267" width="11.140625" style="10" bestFit="1" customWidth="1"/>
    <col min="11268" max="11268" width="9.140625" style="10"/>
    <col min="11269" max="11269" width="11.28515625" style="10" customWidth="1"/>
    <col min="11270" max="11520" width="9.140625" style="10"/>
    <col min="11521" max="11521" width="48.85546875" style="10" customWidth="1"/>
    <col min="11522" max="11522" width="11" style="10" bestFit="1" customWidth="1"/>
    <col min="11523" max="11523" width="11.140625" style="10" bestFit="1" customWidth="1"/>
    <col min="11524" max="11524" width="9.140625" style="10"/>
    <col min="11525" max="11525" width="11.28515625" style="10" customWidth="1"/>
    <col min="11526" max="11776" width="9.140625" style="10"/>
    <col min="11777" max="11777" width="48.85546875" style="10" customWidth="1"/>
    <col min="11778" max="11778" width="11" style="10" bestFit="1" customWidth="1"/>
    <col min="11779" max="11779" width="11.140625" style="10" bestFit="1" customWidth="1"/>
    <col min="11780" max="11780" width="9.140625" style="10"/>
    <col min="11781" max="11781" width="11.28515625" style="10" customWidth="1"/>
    <col min="11782" max="12032" width="9.140625" style="10"/>
    <col min="12033" max="12033" width="48.85546875" style="10" customWidth="1"/>
    <col min="12034" max="12034" width="11" style="10" bestFit="1" customWidth="1"/>
    <col min="12035" max="12035" width="11.140625" style="10" bestFit="1" customWidth="1"/>
    <col min="12036" max="12036" width="9.140625" style="10"/>
    <col min="12037" max="12037" width="11.28515625" style="10" customWidth="1"/>
    <col min="12038" max="12288" width="9.140625" style="10"/>
    <col min="12289" max="12289" width="48.85546875" style="10" customWidth="1"/>
    <col min="12290" max="12290" width="11" style="10" bestFit="1" customWidth="1"/>
    <col min="12291" max="12291" width="11.140625" style="10" bestFit="1" customWidth="1"/>
    <col min="12292" max="12292" width="9.140625" style="10"/>
    <col min="12293" max="12293" width="11.28515625" style="10" customWidth="1"/>
    <col min="12294" max="12544" width="9.140625" style="10"/>
    <col min="12545" max="12545" width="48.85546875" style="10" customWidth="1"/>
    <col min="12546" max="12546" width="11" style="10" bestFit="1" customWidth="1"/>
    <col min="12547" max="12547" width="11.140625" style="10" bestFit="1" customWidth="1"/>
    <col min="12548" max="12548" width="9.140625" style="10"/>
    <col min="12549" max="12549" width="11.28515625" style="10" customWidth="1"/>
    <col min="12550" max="12800" width="9.140625" style="10"/>
    <col min="12801" max="12801" width="48.85546875" style="10" customWidth="1"/>
    <col min="12802" max="12802" width="11" style="10" bestFit="1" customWidth="1"/>
    <col min="12803" max="12803" width="11.140625" style="10" bestFit="1" customWidth="1"/>
    <col min="12804" max="12804" width="9.140625" style="10"/>
    <col min="12805" max="12805" width="11.28515625" style="10" customWidth="1"/>
    <col min="12806" max="13056" width="9.140625" style="10"/>
    <col min="13057" max="13057" width="48.85546875" style="10" customWidth="1"/>
    <col min="13058" max="13058" width="11" style="10" bestFit="1" customWidth="1"/>
    <col min="13059" max="13059" width="11.140625" style="10" bestFit="1" customWidth="1"/>
    <col min="13060" max="13060" width="9.140625" style="10"/>
    <col min="13061" max="13061" width="11.28515625" style="10" customWidth="1"/>
    <col min="13062" max="13312" width="9.140625" style="10"/>
    <col min="13313" max="13313" width="48.85546875" style="10" customWidth="1"/>
    <col min="13314" max="13314" width="11" style="10" bestFit="1" customWidth="1"/>
    <col min="13315" max="13315" width="11.140625" style="10" bestFit="1" customWidth="1"/>
    <col min="13316" max="13316" width="9.140625" style="10"/>
    <col min="13317" max="13317" width="11.28515625" style="10" customWidth="1"/>
    <col min="13318" max="13568" width="9.140625" style="10"/>
    <col min="13569" max="13569" width="48.85546875" style="10" customWidth="1"/>
    <col min="13570" max="13570" width="11" style="10" bestFit="1" customWidth="1"/>
    <col min="13571" max="13571" width="11.140625" style="10" bestFit="1" customWidth="1"/>
    <col min="13572" max="13572" width="9.140625" style="10"/>
    <col min="13573" max="13573" width="11.28515625" style="10" customWidth="1"/>
    <col min="13574" max="13824" width="9.140625" style="10"/>
    <col min="13825" max="13825" width="48.85546875" style="10" customWidth="1"/>
    <col min="13826" max="13826" width="11" style="10" bestFit="1" customWidth="1"/>
    <col min="13827" max="13827" width="11.140625" style="10" bestFit="1" customWidth="1"/>
    <col min="13828" max="13828" width="9.140625" style="10"/>
    <col min="13829" max="13829" width="11.28515625" style="10" customWidth="1"/>
    <col min="13830" max="14080" width="9.140625" style="10"/>
    <col min="14081" max="14081" width="48.85546875" style="10" customWidth="1"/>
    <col min="14082" max="14082" width="11" style="10" bestFit="1" customWidth="1"/>
    <col min="14083" max="14083" width="11.140625" style="10" bestFit="1" customWidth="1"/>
    <col min="14084" max="14084" width="9.140625" style="10"/>
    <col min="14085" max="14085" width="11.28515625" style="10" customWidth="1"/>
    <col min="14086" max="14336" width="9.140625" style="10"/>
    <col min="14337" max="14337" width="48.85546875" style="10" customWidth="1"/>
    <col min="14338" max="14338" width="11" style="10" bestFit="1" customWidth="1"/>
    <col min="14339" max="14339" width="11.140625" style="10" bestFit="1" customWidth="1"/>
    <col min="14340" max="14340" width="9.140625" style="10"/>
    <col min="14341" max="14341" width="11.28515625" style="10" customWidth="1"/>
    <col min="14342" max="14592" width="9.140625" style="10"/>
    <col min="14593" max="14593" width="48.85546875" style="10" customWidth="1"/>
    <col min="14594" max="14594" width="11" style="10" bestFit="1" customWidth="1"/>
    <col min="14595" max="14595" width="11.140625" style="10" bestFit="1" customWidth="1"/>
    <col min="14596" max="14596" width="9.140625" style="10"/>
    <col min="14597" max="14597" width="11.28515625" style="10" customWidth="1"/>
    <col min="14598" max="14848" width="9.140625" style="10"/>
    <col min="14849" max="14849" width="48.85546875" style="10" customWidth="1"/>
    <col min="14850" max="14850" width="11" style="10" bestFit="1" customWidth="1"/>
    <col min="14851" max="14851" width="11.140625" style="10" bestFit="1" customWidth="1"/>
    <col min="14852" max="14852" width="9.140625" style="10"/>
    <col min="14853" max="14853" width="11.28515625" style="10" customWidth="1"/>
    <col min="14854" max="15104" width="9.140625" style="10"/>
    <col min="15105" max="15105" width="48.85546875" style="10" customWidth="1"/>
    <col min="15106" max="15106" width="11" style="10" bestFit="1" customWidth="1"/>
    <col min="15107" max="15107" width="11.140625" style="10" bestFit="1" customWidth="1"/>
    <col min="15108" max="15108" width="9.140625" style="10"/>
    <col min="15109" max="15109" width="11.28515625" style="10" customWidth="1"/>
    <col min="15110" max="15360" width="9.140625" style="10"/>
    <col min="15361" max="15361" width="48.85546875" style="10" customWidth="1"/>
    <col min="15362" max="15362" width="11" style="10" bestFit="1" customWidth="1"/>
    <col min="15363" max="15363" width="11.140625" style="10" bestFit="1" customWidth="1"/>
    <col min="15364" max="15364" width="9.140625" style="10"/>
    <col min="15365" max="15365" width="11.28515625" style="10" customWidth="1"/>
    <col min="15366" max="15616" width="9.140625" style="10"/>
    <col min="15617" max="15617" width="48.85546875" style="10" customWidth="1"/>
    <col min="15618" max="15618" width="11" style="10" bestFit="1" customWidth="1"/>
    <col min="15619" max="15619" width="11.140625" style="10" bestFit="1" customWidth="1"/>
    <col min="15620" max="15620" width="9.140625" style="10"/>
    <col min="15621" max="15621" width="11.28515625" style="10" customWidth="1"/>
    <col min="15622" max="15872" width="9.140625" style="10"/>
    <col min="15873" max="15873" width="48.85546875" style="10" customWidth="1"/>
    <col min="15874" max="15874" width="11" style="10" bestFit="1" customWidth="1"/>
    <col min="15875" max="15875" width="11.140625" style="10" bestFit="1" customWidth="1"/>
    <col min="15876" max="15876" width="9.140625" style="10"/>
    <col min="15877" max="15877" width="11.28515625" style="10" customWidth="1"/>
    <col min="15878" max="16128" width="9.140625" style="10"/>
    <col min="16129" max="16129" width="48.85546875" style="10" customWidth="1"/>
    <col min="16130" max="16130" width="11" style="10" bestFit="1" customWidth="1"/>
    <col min="16131" max="16131" width="11.140625" style="10" bestFit="1" customWidth="1"/>
    <col min="16132" max="16132" width="9.140625" style="10"/>
    <col min="16133" max="16133" width="11.28515625" style="10" customWidth="1"/>
    <col min="16134" max="16384" width="9.140625" style="10"/>
  </cols>
  <sheetData>
    <row r="1" spans="1:5" x14ac:dyDescent="0.25">
      <c r="A1" s="123" t="s">
        <v>109</v>
      </c>
      <c r="B1" s="130">
        <f>'DRE 2013'!F37</f>
        <v>17304.583792473924</v>
      </c>
    </row>
    <row r="2" spans="1:5" x14ac:dyDescent="0.25">
      <c r="A2" s="124" t="s">
        <v>197</v>
      </c>
      <c r="B2" s="141"/>
    </row>
    <row r="3" spans="1:5" x14ac:dyDescent="0.25">
      <c r="A3" s="125" t="s">
        <v>198</v>
      </c>
      <c r="B3" s="130">
        <f>'FC PT 2 '!B18</f>
        <v>5833.333333333333</v>
      </c>
    </row>
    <row r="4" spans="1:5" x14ac:dyDescent="0.25">
      <c r="A4" s="126" t="s">
        <v>199</v>
      </c>
      <c r="B4" s="130">
        <f>'DRE 2013'!F22</f>
        <v>166.66666666666697</v>
      </c>
      <c r="C4" s="15" t="s">
        <v>226</v>
      </c>
    </row>
    <row r="5" spans="1:5" x14ac:dyDescent="0.25">
      <c r="A5" s="126" t="s">
        <v>200</v>
      </c>
      <c r="B5" s="142">
        <f>-2000-150</f>
        <v>-2150</v>
      </c>
      <c r="C5" s="15" t="s">
        <v>227</v>
      </c>
      <c r="D5" s="64"/>
      <c r="E5" s="64"/>
    </row>
    <row r="6" spans="1:5" x14ac:dyDescent="0.25">
      <c r="A6" s="123" t="s">
        <v>201</v>
      </c>
      <c r="B6" s="143">
        <f>SUM(B1:B5)</f>
        <v>21154.583792473924</v>
      </c>
    </row>
    <row r="7" spans="1:5" x14ac:dyDescent="0.25">
      <c r="A7" s="124" t="s">
        <v>202</v>
      </c>
      <c r="B7" s="141"/>
    </row>
    <row r="8" spans="1:5" x14ac:dyDescent="0.25">
      <c r="A8" s="125" t="s">
        <v>293</v>
      </c>
      <c r="B8" s="130">
        <f>'FC PT 2 '!B3</f>
        <v>2699.9336477667812</v>
      </c>
    </row>
    <row r="9" spans="1:5" x14ac:dyDescent="0.25">
      <c r="A9" s="126" t="s">
        <v>203</v>
      </c>
      <c r="B9" s="130">
        <f>-1*(Lançamentos!B46+Lançamentos!B49-750)</f>
        <v>-8750</v>
      </c>
      <c r="D9" s="81"/>
    </row>
    <row r="10" spans="1:5" x14ac:dyDescent="0.25">
      <c r="A10" s="125" t="s">
        <v>294</v>
      </c>
      <c r="B10" s="130">
        <f>'FC PT 2 '!B5</f>
        <v>2800</v>
      </c>
      <c r="E10" s="81"/>
    </row>
    <row r="11" spans="1:5" x14ac:dyDescent="0.25">
      <c r="A11" s="125" t="s">
        <v>295</v>
      </c>
      <c r="B11" s="130">
        <f>-'FC PT 2 '!C6</f>
        <v>-2100</v>
      </c>
      <c r="E11" s="81"/>
    </row>
    <row r="12" spans="1:5" x14ac:dyDescent="0.25">
      <c r="A12" s="125" t="s">
        <v>296</v>
      </c>
      <c r="B12" s="130">
        <f>-'FC PT 2 '!C7</f>
        <v>-700</v>
      </c>
      <c r="E12" s="81"/>
    </row>
    <row r="13" spans="1:5" x14ac:dyDescent="0.25">
      <c r="A13" s="125" t="s">
        <v>204</v>
      </c>
      <c r="B13" s="130">
        <f>'FC PT 2 '!B8</f>
        <v>6681.0000000000009</v>
      </c>
      <c r="E13" s="81"/>
    </row>
    <row r="14" spans="1:5" x14ac:dyDescent="0.25">
      <c r="A14" s="125" t="s">
        <v>205</v>
      </c>
      <c r="B14" s="130">
        <f>'FC PT 2 '!B10</f>
        <v>6554.7665880583045</v>
      </c>
    </row>
    <row r="15" spans="1:5" x14ac:dyDescent="0.25">
      <c r="A15" s="125" t="s">
        <v>206</v>
      </c>
      <c r="B15" s="130">
        <f>'FC PT 2 '!B9</f>
        <v>2359.7159717009895</v>
      </c>
    </row>
    <row r="16" spans="1:5" x14ac:dyDescent="0.25">
      <c r="A16" s="127" t="s">
        <v>207</v>
      </c>
      <c r="B16" s="143">
        <f>SUM(B6:B15)</f>
        <v>30700</v>
      </c>
    </row>
    <row r="17" spans="1:5" x14ac:dyDescent="0.25">
      <c r="A17" s="125" t="s">
        <v>208</v>
      </c>
      <c r="B17" s="130">
        <f>-'FC PT 2 '!C15</f>
        <v>-2000</v>
      </c>
    </row>
    <row r="18" spans="1:5" x14ac:dyDescent="0.25">
      <c r="A18" s="125" t="s">
        <v>209</v>
      </c>
      <c r="B18" s="130">
        <f>'FC PT 2 '!B17</f>
        <v>2000</v>
      </c>
    </row>
    <row r="19" spans="1:5" x14ac:dyDescent="0.25">
      <c r="A19" s="127" t="s">
        <v>210</v>
      </c>
      <c r="B19" s="144">
        <f>SUM(B17:B18)</f>
        <v>0</v>
      </c>
    </row>
    <row r="20" spans="1:5" x14ac:dyDescent="0.25">
      <c r="A20" s="125" t="s">
        <v>211</v>
      </c>
      <c r="B20" s="145">
        <f>'FC PT 2 '!B27</f>
        <v>9863.6127617101356</v>
      </c>
    </row>
    <row r="21" spans="1:5" x14ac:dyDescent="0.25">
      <c r="A21" s="125" t="s">
        <v>130</v>
      </c>
      <c r="B21" s="130">
        <f>'FC PT 2 '!B34</f>
        <v>325000</v>
      </c>
    </row>
    <row r="22" spans="1:5" x14ac:dyDescent="0.25">
      <c r="A22" s="125" t="s">
        <v>212</v>
      </c>
      <c r="B22" s="145">
        <f>-'FC PT 2 '!C36</f>
        <v>-9863.6127617101356</v>
      </c>
    </row>
    <row r="23" spans="1:5" x14ac:dyDescent="0.25">
      <c r="A23" s="127" t="s">
        <v>213</v>
      </c>
      <c r="B23" s="143">
        <f>SUM(B20:B22)</f>
        <v>325000</v>
      </c>
    </row>
    <row r="24" spans="1:5" s="103" customFormat="1" x14ac:dyDescent="0.25">
      <c r="A24" s="127" t="s">
        <v>214</v>
      </c>
      <c r="B24" s="143">
        <f>B16+B19+B23</f>
        <v>355700</v>
      </c>
      <c r="C24" s="140">
        <f>B24-'FC PT 1 '!D3</f>
        <v>0</v>
      </c>
      <c r="D24" s="10"/>
      <c r="E24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9" zoomScale="170" zoomScaleNormal="170" workbookViewId="0">
      <selection activeCell="A23" sqref="A23"/>
    </sheetView>
  </sheetViews>
  <sheetFormatPr defaultRowHeight="15" x14ac:dyDescent="0.25"/>
  <cols>
    <col min="1" max="1" width="48.85546875" style="104" customWidth="1"/>
    <col min="2" max="2" width="11" style="146" bestFit="1" customWidth="1"/>
    <col min="3" max="3" width="11.140625" style="103" bestFit="1" customWidth="1"/>
    <col min="4" max="4" width="9.140625" style="10"/>
    <col min="5" max="5" width="11.28515625" style="10" customWidth="1"/>
    <col min="6" max="256" width="9.140625" style="10"/>
    <col min="257" max="257" width="48.85546875" style="10" customWidth="1"/>
    <col min="258" max="258" width="11" style="10" bestFit="1" customWidth="1"/>
    <col min="259" max="259" width="11.140625" style="10" bestFit="1" customWidth="1"/>
    <col min="260" max="260" width="9.140625" style="10"/>
    <col min="261" max="261" width="11.28515625" style="10" customWidth="1"/>
    <col min="262" max="512" width="9.140625" style="10"/>
    <col min="513" max="513" width="48.85546875" style="10" customWidth="1"/>
    <col min="514" max="514" width="11" style="10" bestFit="1" customWidth="1"/>
    <col min="515" max="515" width="11.140625" style="10" bestFit="1" customWidth="1"/>
    <col min="516" max="516" width="9.140625" style="10"/>
    <col min="517" max="517" width="11.28515625" style="10" customWidth="1"/>
    <col min="518" max="768" width="9.140625" style="10"/>
    <col min="769" max="769" width="48.85546875" style="10" customWidth="1"/>
    <col min="770" max="770" width="11" style="10" bestFit="1" customWidth="1"/>
    <col min="771" max="771" width="11.140625" style="10" bestFit="1" customWidth="1"/>
    <col min="772" max="772" width="9.140625" style="10"/>
    <col min="773" max="773" width="11.28515625" style="10" customWidth="1"/>
    <col min="774" max="1024" width="9.140625" style="10"/>
    <col min="1025" max="1025" width="48.85546875" style="10" customWidth="1"/>
    <col min="1026" max="1026" width="11" style="10" bestFit="1" customWidth="1"/>
    <col min="1027" max="1027" width="11.140625" style="10" bestFit="1" customWidth="1"/>
    <col min="1028" max="1028" width="9.140625" style="10"/>
    <col min="1029" max="1029" width="11.28515625" style="10" customWidth="1"/>
    <col min="1030" max="1280" width="9.140625" style="10"/>
    <col min="1281" max="1281" width="48.85546875" style="10" customWidth="1"/>
    <col min="1282" max="1282" width="11" style="10" bestFit="1" customWidth="1"/>
    <col min="1283" max="1283" width="11.140625" style="10" bestFit="1" customWidth="1"/>
    <col min="1284" max="1284" width="9.140625" style="10"/>
    <col min="1285" max="1285" width="11.28515625" style="10" customWidth="1"/>
    <col min="1286" max="1536" width="9.140625" style="10"/>
    <col min="1537" max="1537" width="48.85546875" style="10" customWidth="1"/>
    <col min="1538" max="1538" width="11" style="10" bestFit="1" customWidth="1"/>
    <col min="1539" max="1539" width="11.140625" style="10" bestFit="1" customWidth="1"/>
    <col min="1540" max="1540" width="9.140625" style="10"/>
    <col min="1541" max="1541" width="11.28515625" style="10" customWidth="1"/>
    <col min="1542" max="1792" width="9.140625" style="10"/>
    <col min="1793" max="1793" width="48.85546875" style="10" customWidth="1"/>
    <col min="1794" max="1794" width="11" style="10" bestFit="1" customWidth="1"/>
    <col min="1795" max="1795" width="11.140625" style="10" bestFit="1" customWidth="1"/>
    <col min="1796" max="1796" width="9.140625" style="10"/>
    <col min="1797" max="1797" width="11.28515625" style="10" customWidth="1"/>
    <col min="1798" max="2048" width="9.140625" style="10"/>
    <col min="2049" max="2049" width="48.85546875" style="10" customWidth="1"/>
    <col min="2050" max="2050" width="11" style="10" bestFit="1" customWidth="1"/>
    <col min="2051" max="2051" width="11.140625" style="10" bestFit="1" customWidth="1"/>
    <col min="2052" max="2052" width="9.140625" style="10"/>
    <col min="2053" max="2053" width="11.28515625" style="10" customWidth="1"/>
    <col min="2054" max="2304" width="9.140625" style="10"/>
    <col min="2305" max="2305" width="48.85546875" style="10" customWidth="1"/>
    <col min="2306" max="2306" width="11" style="10" bestFit="1" customWidth="1"/>
    <col min="2307" max="2307" width="11.140625" style="10" bestFit="1" customWidth="1"/>
    <col min="2308" max="2308" width="9.140625" style="10"/>
    <col min="2309" max="2309" width="11.28515625" style="10" customWidth="1"/>
    <col min="2310" max="2560" width="9.140625" style="10"/>
    <col min="2561" max="2561" width="48.85546875" style="10" customWidth="1"/>
    <col min="2562" max="2562" width="11" style="10" bestFit="1" customWidth="1"/>
    <col min="2563" max="2563" width="11.140625" style="10" bestFit="1" customWidth="1"/>
    <col min="2564" max="2564" width="9.140625" style="10"/>
    <col min="2565" max="2565" width="11.28515625" style="10" customWidth="1"/>
    <col min="2566" max="2816" width="9.140625" style="10"/>
    <col min="2817" max="2817" width="48.85546875" style="10" customWidth="1"/>
    <col min="2818" max="2818" width="11" style="10" bestFit="1" customWidth="1"/>
    <col min="2819" max="2819" width="11.140625" style="10" bestFit="1" customWidth="1"/>
    <col min="2820" max="2820" width="9.140625" style="10"/>
    <col min="2821" max="2821" width="11.28515625" style="10" customWidth="1"/>
    <col min="2822" max="3072" width="9.140625" style="10"/>
    <col min="3073" max="3073" width="48.85546875" style="10" customWidth="1"/>
    <col min="3074" max="3074" width="11" style="10" bestFit="1" customWidth="1"/>
    <col min="3075" max="3075" width="11.140625" style="10" bestFit="1" customWidth="1"/>
    <col min="3076" max="3076" width="9.140625" style="10"/>
    <col min="3077" max="3077" width="11.28515625" style="10" customWidth="1"/>
    <col min="3078" max="3328" width="9.140625" style="10"/>
    <col min="3329" max="3329" width="48.85546875" style="10" customWidth="1"/>
    <col min="3330" max="3330" width="11" style="10" bestFit="1" customWidth="1"/>
    <col min="3331" max="3331" width="11.140625" style="10" bestFit="1" customWidth="1"/>
    <col min="3332" max="3332" width="9.140625" style="10"/>
    <col min="3333" max="3333" width="11.28515625" style="10" customWidth="1"/>
    <col min="3334" max="3584" width="9.140625" style="10"/>
    <col min="3585" max="3585" width="48.85546875" style="10" customWidth="1"/>
    <col min="3586" max="3586" width="11" style="10" bestFit="1" customWidth="1"/>
    <col min="3587" max="3587" width="11.140625" style="10" bestFit="1" customWidth="1"/>
    <col min="3588" max="3588" width="9.140625" style="10"/>
    <col min="3589" max="3589" width="11.28515625" style="10" customWidth="1"/>
    <col min="3590" max="3840" width="9.140625" style="10"/>
    <col min="3841" max="3841" width="48.85546875" style="10" customWidth="1"/>
    <col min="3842" max="3842" width="11" style="10" bestFit="1" customWidth="1"/>
    <col min="3843" max="3843" width="11.140625" style="10" bestFit="1" customWidth="1"/>
    <col min="3844" max="3844" width="9.140625" style="10"/>
    <col min="3845" max="3845" width="11.28515625" style="10" customWidth="1"/>
    <col min="3846" max="4096" width="9.140625" style="10"/>
    <col min="4097" max="4097" width="48.85546875" style="10" customWidth="1"/>
    <col min="4098" max="4098" width="11" style="10" bestFit="1" customWidth="1"/>
    <col min="4099" max="4099" width="11.140625" style="10" bestFit="1" customWidth="1"/>
    <col min="4100" max="4100" width="9.140625" style="10"/>
    <col min="4101" max="4101" width="11.28515625" style="10" customWidth="1"/>
    <col min="4102" max="4352" width="9.140625" style="10"/>
    <col min="4353" max="4353" width="48.85546875" style="10" customWidth="1"/>
    <col min="4354" max="4354" width="11" style="10" bestFit="1" customWidth="1"/>
    <col min="4355" max="4355" width="11.140625" style="10" bestFit="1" customWidth="1"/>
    <col min="4356" max="4356" width="9.140625" style="10"/>
    <col min="4357" max="4357" width="11.28515625" style="10" customWidth="1"/>
    <col min="4358" max="4608" width="9.140625" style="10"/>
    <col min="4609" max="4609" width="48.85546875" style="10" customWidth="1"/>
    <col min="4610" max="4610" width="11" style="10" bestFit="1" customWidth="1"/>
    <col min="4611" max="4611" width="11.140625" style="10" bestFit="1" customWidth="1"/>
    <col min="4612" max="4612" width="9.140625" style="10"/>
    <col min="4613" max="4613" width="11.28515625" style="10" customWidth="1"/>
    <col min="4614" max="4864" width="9.140625" style="10"/>
    <col min="4865" max="4865" width="48.85546875" style="10" customWidth="1"/>
    <col min="4866" max="4866" width="11" style="10" bestFit="1" customWidth="1"/>
    <col min="4867" max="4867" width="11.140625" style="10" bestFit="1" customWidth="1"/>
    <col min="4868" max="4868" width="9.140625" style="10"/>
    <col min="4869" max="4869" width="11.28515625" style="10" customWidth="1"/>
    <col min="4870" max="5120" width="9.140625" style="10"/>
    <col min="5121" max="5121" width="48.85546875" style="10" customWidth="1"/>
    <col min="5122" max="5122" width="11" style="10" bestFit="1" customWidth="1"/>
    <col min="5123" max="5123" width="11.140625" style="10" bestFit="1" customWidth="1"/>
    <col min="5124" max="5124" width="9.140625" style="10"/>
    <col min="5125" max="5125" width="11.28515625" style="10" customWidth="1"/>
    <col min="5126" max="5376" width="9.140625" style="10"/>
    <col min="5377" max="5377" width="48.85546875" style="10" customWidth="1"/>
    <col min="5378" max="5378" width="11" style="10" bestFit="1" customWidth="1"/>
    <col min="5379" max="5379" width="11.140625" style="10" bestFit="1" customWidth="1"/>
    <col min="5380" max="5380" width="9.140625" style="10"/>
    <col min="5381" max="5381" width="11.28515625" style="10" customWidth="1"/>
    <col min="5382" max="5632" width="9.140625" style="10"/>
    <col min="5633" max="5633" width="48.85546875" style="10" customWidth="1"/>
    <col min="5634" max="5634" width="11" style="10" bestFit="1" customWidth="1"/>
    <col min="5635" max="5635" width="11.140625" style="10" bestFit="1" customWidth="1"/>
    <col min="5636" max="5636" width="9.140625" style="10"/>
    <col min="5637" max="5637" width="11.28515625" style="10" customWidth="1"/>
    <col min="5638" max="5888" width="9.140625" style="10"/>
    <col min="5889" max="5889" width="48.85546875" style="10" customWidth="1"/>
    <col min="5890" max="5890" width="11" style="10" bestFit="1" customWidth="1"/>
    <col min="5891" max="5891" width="11.140625" style="10" bestFit="1" customWidth="1"/>
    <col min="5892" max="5892" width="9.140625" style="10"/>
    <col min="5893" max="5893" width="11.28515625" style="10" customWidth="1"/>
    <col min="5894" max="6144" width="9.140625" style="10"/>
    <col min="6145" max="6145" width="48.85546875" style="10" customWidth="1"/>
    <col min="6146" max="6146" width="11" style="10" bestFit="1" customWidth="1"/>
    <col min="6147" max="6147" width="11.140625" style="10" bestFit="1" customWidth="1"/>
    <col min="6148" max="6148" width="9.140625" style="10"/>
    <col min="6149" max="6149" width="11.28515625" style="10" customWidth="1"/>
    <col min="6150" max="6400" width="9.140625" style="10"/>
    <col min="6401" max="6401" width="48.85546875" style="10" customWidth="1"/>
    <col min="6402" max="6402" width="11" style="10" bestFit="1" customWidth="1"/>
    <col min="6403" max="6403" width="11.140625" style="10" bestFit="1" customWidth="1"/>
    <col min="6404" max="6404" width="9.140625" style="10"/>
    <col min="6405" max="6405" width="11.28515625" style="10" customWidth="1"/>
    <col min="6406" max="6656" width="9.140625" style="10"/>
    <col min="6657" max="6657" width="48.85546875" style="10" customWidth="1"/>
    <col min="6658" max="6658" width="11" style="10" bestFit="1" customWidth="1"/>
    <col min="6659" max="6659" width="11.140625" style="10" bestFit="1" customWidth="1"/>
    <col min="6660" max="6660" width="9.140625" style="10"/>
    <col min="6661" max="6661" width="11.28515625" style="10" customWidth="1"/>
    <col min="6662" max="6912" width="9.140625" style="10"/>
    <col min="6913" max="6913" width="48.85546875" style="10" customWidth="1"/>
    <col min="6914" max="6914" width="11" style="10" bestFit="1" customWidth="1"/>
    <col min="6915" max="6915" width="11.140625" style="10" bestFit="1" customWidth="1"/>
    <col min="6916" max="6916" width="9.140625" style="10"/>
    <col min="6917" max="6917" width="11.28515625" style="10" customWidth="1"/>
    <col min="6918" max="7168" width="9.140625" style="10"/>
    <col min="7169" max="7169" width="48.85546875" style="10" customWidth="1"/>
    <col min="7170" max="7170" width="11" style="10" bestFit="1" customWidth="1"/>
    <col min="7171" max="7171" width="11.140625" style="10" bestFit="1" customWidth="1"/>
    <col min="7172" max="7172" width="9.140625" style="10"/>
    <col min="7173" max="7173" width="11.28515625" style="10" customWidth="1"/>
    <col min="7174" max="7424" width="9.140625" style="10"/>
    <col min="7425" max="7425" width="48.85546875" style="10" customWidth="1"/>
    <col min="7426" max="7426" width="11" style="10" bestFit="1" customWidth="1"/>
    <col min="7427" max="7427" width="11.140625" style="10" bestFit="1" customWidth="1"/>
    <col min="7428" max="7428" width="9.140625" style="10"/>
    <col min="7429" max="7429" width="11.28515625" style="10" customWidth="1"/>
    <col min="7430" max="7680" width="9.140625" style="10"/>
    <col min="7681" max="7681" width="48.85546875" style="10" customWidth="1"/>
    <col min="7682" max="7682" width="11" style="10" bestFit="1" customWidth="1"/>
    <col min="7683" max="7683" width="11.140625" style="10" bestFit="1" customWidth="1"/>
    <col min="7684" max="7684" width="9.140625" style="10"/>
    <col min="7685" max="7685" width="11.28515625" style="10" customWidth="1"/>
    <col min="7686" max="7936" width="9.140625" style="10"/>
    <col min="7937" max="7937" width="48.85546875" style="10" customWidth="1"/>
    <col min="7938" max="7938" width="11" style="10" bestFit="1" customWidth="1"/>
    <col min="7939" max="7939" width="11.140625" style="10" bestFit="1" customWidth="1"/>
    <col min="7940" max="7940" width="9.140625" style="10"/>
    <col min="7941" max="7941" width="11.28515625" style="10" customWidth="1"/>
    <col min="7942" max="8192" width="9.140625" style="10"/>
    <col min="8193" max="8193" width="48.85546875" style="10" customWidth="1"/>
    <col min="8194" max="8194" width="11" style="10" bestFit="1" customWidth="1"/>
    <col min="8195" max="8195" width="11.140625" style="10" bestFit="1" customWidth="1"/>
    <col min="8196" max="8196" width="9.140625" style="10"/>
    <col min="8197" max="8197" width="11.28515625" style="10" customWidth="1"/>
    <col min="8198" max="8448" width="9.140625" style="10"/>
    <col min="8449" max="8449" width="48.85546875" style="10" customWidth="1"/>
    <col min="8450" max="8450" width="11" style="10" bestFit="1" customWidth="1"/>
    <col min="8451" max="8451" width="11.140625" style="10" bestFit="1" customWidth="1"/>
    <col min="8452" max="8452" width="9.140625" style="10"/>
    <col min="8453" max="8453" width="11.28515625" style="10" customWidth="1"/>
    <col min="8454" max="8704" width="9.140625" style="10"/>
    <col min="8705" max="8705" width="48.85546875" style="10" customWidth="1"/>
    <col min="8706" max="8706" width="11" style="10" bestFit="1" customWidth="1"/>
    <col min="8707" max="8707" width="11.140625" style="10" bestFit="1" customWidth="1"/>
    <col min="8708" max="8708" width="9.140625" style="10"/>
    <col min="8709" max="8709" width="11.28515625" style="10" customWidth="1"/>
    <col min="8710" max="8960" width="9.140625" style="10"/>
    <col min="8961" max="8961" width="48.85546875" style="10" customWidth="1"/>
    <col min="8962" max="8962" width="11" style="10" bestFit="1" customWidth="1"/>
    <col min="8963" max="8963" width="11.140625" style="10" bestFit="1" customWidth="1"/>
    <col min="8964" max="8964" width="9.140625" style="10"/>
    <col min="8965" max="8965" width="11.28515625" style="10" customWidth="1"/>
    <col min="8966" max="9216" width="9.140625" style="10"/>
    <col min="9217" max="9217" width="48.85546875" style="10" customWidth="1"/>
    <col min="9218" max="9218" width="11" style="10" bestFit="1" customWidth="1"/>
    <col min="9219" max="9219" width="11.140625" style="10" bestFit="1" customWidth="1"/>
    <col min="9220" max="9220" width="9.140625" style="10"/>
    <col min="9221" max="9221" width="11.28515625" style="10" customWidth="1"/>
    <col min="9222" max="9472" width="9.140625" style="10"/>
    <col min="9473" max="9473" width="48.85546875" style="10" customWidth="1"/>
    <col min="9474" max="9474" width="11" style="10" bestFit="1" customWidth="1"/>
    <col min="9475" max="9475" width="11.140625" style="10" bestFit="1" customWidth="1"/>
    <col min="9476" max="9476" width="9.140625" style="10"/>
    <col min="9477" max="9477" width="11.28515625" style="10" customWidth="1"/>
    <col min="9478" max="9728" width="9.140625" style="10"/>
    <col min="9729" max="9729" width="48.85546875" style="10" customWidth="1"/>
    <col min="9730" max="9730" width="11" style="10" bestFit="1" customWidth="1"/>
    <col min="9731" max="9731" width="11.140625" style="10" bestFit="1" customWidth="1"/>
    <col min="9732" max="9732" width="9.140625" style="10"/>
    <col min="9733" max="9733" width="11.28515625" style="10" customWidth="1"/>
    <col min="9734" max="9984" width="9.140625" style="10"/>
    <col min="9985" max="9985" width="48.85546875" style="10" customWidth="1"/>
    <col min="9986" max="9986" width="11" style="10" bestFit="1" customWidth="1"/>
    <col min="9987" max="9987" width="11.140625" style="10" bestFit="1" customWidth="1"/>
    <col min="9988" max="9988" width="9.140625" style="10"/>
    <col min="9989" max="9989" width="11.28515625" style="10" customWidth="1"/>
    <col min="9990" max="10240" width="9.140625" style="10"/>
    <col min="10241" max="10241" width="48.85546875" style="10" customWidth="1"/>
    <col min="10242" max="10242" width="11" style="10" bestFit="1" customWidth="1"/>
    <col min="10243" max="10243" width="11.140625" style="10" bestFit="1" customWidth="1"/>
    <col min="10244" max="10244" width="9.140625" style="10"/>
    <col min="10245" max="10245" width="11.28515625" style="10" customWidth="1"/>
    <col min="10246" max="10496" width="9.140625" style="10"/>
    <col min="10497" max="10497" width="48.85546875" style="10" customWidth="1"/>
    <col min="10498" max="10498" width="11" style="10" bestFit="1" customWidth="1"/>
    <col min="10499" max="10499" width="11.140625" style="10" bestFit="1" customWidth="1"/>
    <col min="10500" max="10500" width="9.140625" style="10"/>
    <col min="10501" max="10501" width="11.28515625" style="10" customWidth="1"/>
    <col min="10502" max="10752" width="9.140625" style="10"/>
    <col min="10753" max="10753" width="48.85546875" style="10" customWidth="1"/>
    <col min="10754" max="10754" width="11" style="10" bestFit="1" customWidth="1"/>
    <col min="10755" max="10755" width="11.140625" style="10" bestFit="1" customWidth="1"/>
    <col min="10756" max="10756" width="9.140625" style="10"/>
    <col min="10757" max="10757" width="11.28515625" style="10" customWidth="1"/>
    <col min="10758" max="11008" width="9.140625" style="10"/>
    <col min="11009" max="11009" width="48.85546875" style="10" customWidth="1"/>
    <col min="11010" max="11010" width="11" style="10" bestFit="1" customWidth="1"/>
    <col min="11011" max="11011" width="11.140625" style="10" bestFit="1" customWidth="1"/>
    <col min="11012" max="11012" width="9.140625" style="10"/>
    <col min="11013" max="11013" width="11.28515625" style="10" customWidth="1"/>
    <col min="11014" max="11264" width="9.140625" style="10"/>
    <col min="11265" max="11265" width="48.85546875" style="10" customWidth="1"/>
    <col min="11266" max="11266" width="11" style="10" bestFit="1" customWidth="1"/>
    <col min="11267" max="11267" width="11.140625" style="10" bestFit="1" customWidth="1"/>
    <col min="11268" max="11268" width="9.140625" style="10"/>
    <col min="11269" max="11269" width="11.28515625" style="10" customWidth="1"/>
    <col min="11270" max="11520" width="9.140625" style="10"/>
    <col min="11521" max="11521" width="48.85546875" style="10" customWidth="1"/>
    <col min="11522" max="11522" width="11" style="10" bestFit="1" customWidth="1"/>
    <col min="11523" max="11523" width="11.140625" style="10" bestFit="1" customWidth="1"/>
    <col min="11524" max="11524" width="9.140625" style="10"/>
    <col min="11525" max="11525" width="11.28515625" style="10" customWidth="1"/>
    <col min="11526" max="11776" width="9.140625" style="10"/>
    <col min="11777" max="11777" width="48.85546875" style="10" customWidth="1"/>
    <col min="11778" max="11778" width="11" style="10" bestFit="1" customWidth="1"/>
    <col min="11779" max="11779" width="11.140625" style="10" bestFit="1" customWidth="1"/>
    <col min="11780" max="11780" width="9.140625" style="10"/>
    <col min="11781" max="11781" width="11.28515625" style="10" customWidth="1"/>
    <col min="11782" max="12032" width="9.140625" style="10"/>
    <col min="12033" max="12033" width="48.85546875" style="10" customWidth="1"/>
    <col min="12034" max="12034" width="11" style="10" bestFit="1" customWidth="1"/>
    <col min="12035" max="12035" width="11.140625" style="10" bestFit="1" customWidth="1"/>
    <col min="12036" max="12036" width="9.140625" style="10"/>
    <col min="12037" max="12037" width="11.28515625" style="10" customWidth="1"/>
    <col min="12038" max="12288" width="9.140625" style="10"/>
    <col min="12289" max="12289" width="48.85546875" style="10" customWidth="1"/>
    <col min="12290" max="12290" width="11" style="10" bestFit="1" customWidth="1"/>
    <col min="12291" max="12291" width="11.140625" style="10" bestFit="1" customWidth="1"/>
    <col min="12292" max="12292" width="9.140625" style="10"/>
    <col min="12293" max="12293" width="11.28515625" style="10" customWidth="1"/>
    <col min="12294" max="12544" width="9.140625" style="10"/>
    <col min="12545" max="12545" width="48.85546875" style="10" customWidth="1"/>
    <col min="12546" max="12546" width="11" style="10" bestFit="1" customWidth="1"/>
    <col min="12547" max="12547" width="11.140625" style="10" bestFit="1" customWidth="1"/>
    <col min="12548" max="12548" width="9.140625" style="10"/>
    <col min="12549" max="12549" width="11.28515625" style="10" customWidth="1"/>
    <col min="12550" max="12800" width="9.140625" style="10"/>
    <col min="12801" max="12801" width="48.85546875" style="10" customWidth="1"/>
    <col min="12802" max="12802" width="11" style="10" bestFit="1" customWidth="1"/>
    <col min="12803" max="12803" width="11.140625" style="10" bestFit="1" customWidth="1"/>
    <col min="12804" max="12804" width="9.140625" style="10"/>
    <col min="12805" max="12805" width="11.28515625" style="10" customWidth="1"/>
    <col min="12806" max="13056" width="9.140625" style="10"/>
    <col min="13057" max="13057" width="48.85546875" style="10" customWidth="1"/>
    <col min="13058" max="13058" width="11" style="10" bestFit="1" customWidth="1"/>
    <col min="13059" max="13059" width="11.140625" style="10" bestFit="1" customWidth="1"/>
    <col min="13060" max="13060" width="9.140625" style="10"/>
    <col min="13061" max="13061" width="11.28515625" style="10" customWidth="1"/>
    <col min="13062" max="13312" width="9.140625" style="10"/>
    <col min="13313" max="13313" width="48.85546875" style="10" customWidth="1"/>
    <col min="13314" max="13314" width="11" style="10" bestFit="1" customWidth="1"/>
    <col min="13315" max="13315" width="11.140625" style="10" bestFit="1" customWidth="1"/>
    <col min="13316" max="13316" width="9.140625" style="10"/>
    <col min="13317" max="13317" width="11.28515625" style="10" customWidth="1"/>
    <col min="13318" max="13568" width="9.140625" style="10"/>
    <col min="13569" max="13569" width="48.85546875" style="10" customWidth="1"/>
    <col min="13570" max="13570" width="11" style="10" bestFit="1" customWidth="1"/>
    <col min="13571" max="13571" width="11.140625" style="10" bestFit="1" customWidth="1"/>
    <col min="13572" max="13572" width="9.140625" style="10"/>
    <col min="13573" max="13573" width="11.28515625" style="10" customWidth="1"/>
    <col min="13574" max="13824" width="9.140625" style="10"/>
    <col min="13825" max="13825" width="48.85546875" style="10" customWidth="1"/>
    <col min="13826" max="13826" width="11" style="10" bestFit="1" customWidth="1"/>
    <col min="13827" max="13827" width="11.140625" style="10" bestFit="1" customWidth="1"/>
    <col min="13828" max="13828" width="9.140625" style="10"/>
    <col min="13829" max="13829" width="11.28515625" style="10" customWidth="1"/>
    <col min="13830" max="14080" width="9.140625" style="10"/>
    <col min="14081" max="14081" width="48.85546875" style="10" customWidth="1"/>
    <col min="14082" max="14082" width="11" style="10" bestFit="1" customWidth="1"/>
    <col min="14083" max="14083" width="11.140625" style="10" bestFit="1" customWidth="1"/>
    <col min="14084" max="14084" width="9.140625" style="10"/>
    <col min="14085" max="14085" width="11.28515625" style="10" customWidth="1"/>
    <col min="14086" max="14336" width="9.140625" style="10"/>
    <col min="14337" max="14337" width="48.85546875" style="10" customWidth="1"/>
    <col min="14338" max="14338" width="11" style="10" bestFit="1" customWidth="1"/>
    <col min="14339" max="14339" width="11.140625" style="10" bestFit="1" customWidth="1"/>
    <col min="14340" max="14340" width="9.140625" style="10"/>
    <col min="14341" max="14341" width="11.28515625" style="10" customWidth="1"/>
    <col min="14342" max="14592" width="9.140625" style="10"/>
    <col min="14593" max="14593" width="48.85546875" style="10" customWidth="1"/>
    <col min="14594" max="14594" width="11" style="10" bestFit="1" customWidth="1"/>
    <col min="14595" max="14595" width="11.140625" style="10" bestFit="1" customWidth="1"/>
    <col min="14596" max="14596" width="9.140625" style="10"/>
    <col min="14597" max="14597" width="11.28515625" style="10" customWidth="1"/>
    <col min="14598" max="14848" width="9.140625" style="10"/>
    <col min="14849" max="14849" width="48.85546875" style="10" customWidth="1"/>
    <col min="14850" max="14850" width="11" style="10" bestFit="1" customWidth="1"/>
    <col min="14851" max="14851" width="11.140625" style="10" bestFit="1" customWidth="1"/>
    <col min="14852" max="14852" width="9.140625" style="10"/>
    <col min="14853" max="14853" width="11.28515625" style="10" customWidth="1"/>
    <col min="14854" max="15104" width="9.140625" style="10"/>
    <col min="15105" max="15105" width="48.85546875" style="10" customWidth="1"/>
    <col min="15106" max="15106" width="11" style="10" bestFit="1" customWidth="1"/>
    <col min="15107" max="15107" width="11.140625" style="10" bestFit="1" customWidth="1"/>
    <col min="15108" max="15108" width="9.140625" style="10"/>
    <col min="15109" max="15109" width="11.28515625" style="10" customWidth="1"/>
    <col min="15110" max="15360" width="9.140625" style="10"/>
    <col min="15361" max="15361" width="48.85546875" style="10" customWidth="1"/>
    <col min="15362" max="15362" width="11" style="10" bestFit="1" customWidth="1"/>
    <col min="15363" max="15363" width="11.140625" style="10" bestFit="1" customWidth="1"/>
    <col min="15364" max="15364" width="9.140625" style="10"/>
    <col min="15365" max="15365" width="11.28515625" style="10" customWidth="1"/>
    <col min="15366" max="15616" width="9.140625" style="10"/>
    <col min="15617" max="15617" width="48.85546875" style="10" customWidth="1"/>
    <col min="15618" max="15618" width="11" style="10" bestFit="1" customWidth="1"/>
    <col min="15619" max="15619" width="11.140625" style="10" bestFit="1" customWidth="1"/>
    <col min="15620" max="15620" width="9.140625" style="10"/>
    <col min="15621" max="15621" width="11.28515625" style="10" customWidth="1"/>
    <col min="15622" max="15872" width="9.140625" style="10"/>
    <col min="15873" max="15873" width="48.85546875" style="10" customWidth="1"/>
    <col min="15874" max="15874" width="11" style="10" bestFit="1" customWidth="1"/>
    <col min="15875" max="15875" width="11.140625" style="10" bestFit="1" customWidth="1"/>
    <col min="15876" max="15876" width="9.140625" style="10"/>
    <col min="15877" max="15877" width="11.28515625" style="10" customWidth="1"/>
    <col min="15878" max="16128" width="9.140625" style="10"/>
    <col min="16129" max="16129" width="48.85546875" style="10" customWidth="1"/>
    <col min="16130" max="16130" width="11" style="10" bestFit="1" customWidth="1"/>
    <col min="16131" max="16131" width="11.140625" style="10" bestFit="1" customWidth="1"/>
    <col min="16132" max="16132" width="9.140625" style="10"/>
    <col min="16133" max="16133" width="11.28515625" style="10" customWidth="1"/>
    <col min="16134" max="16384" width="9.140625" style="10"/>
  </cols>
  <sheetData>
    <row r="1" spans="1:5" x14ac:dyDescent="0.25">
      <c r="A1" s="123" t="s">
        <v>109</v>
      </c>
      <c r="B1" s="130">
        <f>'DRE 2013'!F37</f>
        <v>17304.583792473924</v>
      </c>
    </row>
    <row r="2" spans="1:5" x14ac:dyDescent="0.25">
      <c r="A2" s="124" t="s">
        <v>197</v>
      </c>
      <c r="B2" s="141"/>
    </row>
    <row r="3" spans="1:5" x14ac:dyDescent="0.25">
      <c r="A3" s="125" t="s">
        <v>198</v>
      </c>
      <c r="B3" s="130">
        <f>'FC PT 2 '!B18</f>
        <v>5833.333333333333</v>
      </c>
    </row>
    <row r="4" spans="1:5" x14ac:dyDescent="0.25">
      <c r="A4" s="126" t="s">
        <v>199</v>
      </c>
      <c r="B4" s="130">
        <f>'DRE 2013'!F22</f>
        <v>166.66666666666697</v>
      </c>
      <c r="C4" s="15"/>
    </row>
    <row r="5" spans="1:5" x14ac:dyDescent="0.25">
      <c r="A5" s="126" t="s">
        <v>200</v>
      </c>
      <c r="B5" s="142">
        <f>-2000-150</f>
        <v>-2150</v>
      </c>
      <c r="C5" s="15"/>
      <c r="D5" s="64"/>
      <c r="E5" s="64"/>
    </row>
    <row r="6" spans="1:5" x14ac:dyDescent="0.25">
      <c r="A6" s="123" t="s">
        <v>201</v>
      </c>
      <c r="B6" s="143">
        <f>SUM(B1:B5)</f>
        <v>21154.583792473924</v>
      </c>
    </row>
    <row r="7" spans="1:5" x14ac:dyDescent="0.25">
      <c r="A7" s="124" t="s">
        <v>202</v>
      </c>
      <c r="B7" s="141"/>
    </row>
    <row r="8" spans="1:5" x14ac:dyDescent="0.25">
      <c r="A8" s="125" t="s">
        <v>293</v>
      </c>
      <c r="B8" s="130">
        <f>'FC PT 2 '!B3</f>
        <v>2699.9336477667812</v>
      </c>
    </row>
    <row r="9" spans="1:5" x14ac:dyDescent="0.25">
      <c r="A9" s="126" t="s">
        <v>203</v>
      </c>
      <c r="B9" s="130">
        <f>-1*(Lançamentos!B46+Lançamentos!B49-750)</f>
        <v>-8750</v>
      </c>
      <c r="D9" s="81"/>
    </row>
    <row r="10" spans="1:5" x14ac:dyDescent="0.25">
      <c r="A10" s="125" t="s">
        <v>294</v>
      </c>
      <c r="B10" s="130">
        <f>'FC PT 2 '!B5</f>
        <v>2800</v>
      </c>
      <c r="E10" s="81"/>
    </row>
    <row r="11" spans="1:5" x14ac:dyDescent="0.25">
      <c r="A11" s="125" t="s">
        <v>295</v>
      </c>
      <c r="B11" s="130">
        <f>-'FC PT 2 '!C6</f>
        <v>-2100</v>
      </c>
      <c r="E11" s="81"/>
    </row>
    <row r="12" spans="1:5" x14ac:dyDescent="0.25">
      <c r="A12" s="125" t="s">
        <v>296</v>
      </c>
      <c r="B12" s="130">
        <f>-'FC PT 2 '!C7</f>
        <v>-700</v>
      </c>
      <c r="E12" s="81"/>
    </row>
    <row r="13" spans="1:5" x14ac:dyDescent="0.25">
      <c r="A13" s="125" t="s">
        <v>204</v>
      </c>
      <c r="B13" s="130">
        <f>'FC PT 2 '!B8</f>
        <v>6681.0000000000009</v>
      </c>
      <c r="E13" s="81"/>
    </row>
    <row r="14" spans="1:5" x14ac:dyDescent="0.25">
      <c r="A14" s="125" t="s">
        <v>205</v>
      </c>
      <c r="B14" s="130">
        <f>'FC PT 2 '!B10</f>
        <v>6554.7665880583045</v>
      </c>
    </row>
    <row r="15" spans="1:5" x14ac:dyDescent="0.25">
      <c r="A15" s="125" t="s">
        <v>206</v>
      </c>
      <c r="B15" s="130">
        <f>'FC PT 2 '!B9</f>
        <v>2359.7159717009895</v>
      </c>
    </row>
    <row r="16" spans="1:5" x14ac:dyDescent="0.25">
      <c r="A16" s="127" t="s">
        <v>207</v>
      </c>
      <c r="B16" s="143">
        <f>SUM(B6:B15)</f>
        <v>30700</v>
      </c>
    </row>
    <row r="17" spans="1:5" hidden="1" x14ac:dyDescent="0.25">
      <c r="A17" s="125"/>
      <c r="B17" s="130"/>
    </row>
    <row r="18" spans="1:5" hidden="1" x14ac:dyDescent="0.25">
      <c r="A18" s="125"/>
      <c r="B18" s="130"/>
    </row>
    <row r="19" spans="1:5" x14ac:dyDescent="0.25">
      <c r="A19" s="127" t="s">
        <v>210</v>
      </c>
      <c r="B19" s="144">
        <f>SUM(B17:B18)</f>
        <v>0</v>
      </c>
    </row>
    <row r="20" spans="1:5" hidden="1" x14ac:dyDescent="0.25">
      <c r="A20" s="125"/>
      <c r="B20" s="145"/>
    </row>
    <row r="21" spans="1:5" x14ac:dyDescent="0.25">
      <c r="A21" s="125" t="s">
        <v>292</v>
      </c>
      <c r="B21" s="130">
        <f>'FC PT 2 '!B34</f>
        <v>325000</v>
      </c>
    </row>
    <row r="22" spans="1:5" hidden="1" x14ac:dyDescent="0.25">
      <c r="A22" s="125"/>
      <c r="B22" s="145"/>
    </row>
    <row r="23" spans="1:5" x14ac:dyDescent="0.25">
      <c r="A23" s="127" t="s">
        <v>213</v>
      </c>
      <c r="B23" s="143">
        <f>SUM(B20:B22)</f>
        <v>325000</v>
      </c>
    </row>
    <row r="24" spans="1:5" s="103" customFormat="1" x14ac:dyDescent="0.25">
      <c r="A24" s="127" t="s">
        <v>214</v>
      </c>
      <c r="B24" s="143">
        <f>B16+B19+B23</f>
        <v>355700</v>
      </c>
      <c r="C24" s="140">
        <f>B24-'FC PT 1 '!D3</f>
        <v>0</v>
      </c>
      <c r="D24" s="10"/>
      <c r="E24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zoomScale="120" zoomScaleNormal="120" workbookViewId="0">
      <selection activeCell="B29" sqref="B29"/>
    </sheetView>
  </sheetViews>
  <sheetFormatPr defaultColWidth="8.85546875" defaultRowHeight="15" x14ac:dyDescent="0.25"/>
  <cols>
    <col min="1" max="5" width="8.85546875" style="10"/>
    <col min="6" max="6" width="13.28515625" style="10" bestFit="1" customWidth="1"/>
    <col min="7" max="12" width="8.85546875" style="10"/>
    <col min="13" max="13" width="13.28515625" style="10" bestFit="1" customWidth="1"/>
    <col min="14" max="16384" width="8.85546875" style="10"/>
  </cols>
  <sheetData>
    <row r="2" spans="2:14" x14ac:dyDescent="0.25">
      <c r="B2" s="211" t="s">
        <v>107</v>
      </c>
      <c r="C2" s="211"/>
      <c r="D2" s="211"/>
      <c r="E2" s="211"/>
      <c r="I2" s="211" t="s">
        <v>108</v>
      </c>
      <c r="J2" s="211"/>
      <c r="K2" s="211"/>
      <c r="L2" s="211"/>
    </row>
    <row r="5" spans="2:14" x14ac:dyDescent="0.25">
      <c r="B5" s="10" t="s">
        <v>109</v>
      </c>
      <c r="F5" s="48">
        <f>'DRE 2013'!F37</f>
        <v>17304.583792473924</v>
      </c>
      <c r="I5" s="10" t="s">
        <v>110</v>
      </c>
      <c r="M5" s="48">
        <f>'DRE 2013'!F37</f>
        <v>17304.583792473924</v>
      </c>
    </row>
    <row r="6" spans="2:14" x14ac:dyDescent="0.25">
      <c r="B6" s="10" t="s">
        <v>111</v>
      </c>
      <c r="E6" s="39" t="s">
        <v>88</v>
      </c>
      <c r="F6" s="62">
        <f>F5*5%</f>
        <v>865.22918962369624</v>
      </c>
      <c r="G6" s="19" t="s">
        <v>89</v>
      </c>
      <c r="I6" s="10" t="s">
        <v>56</v>
      </c>
      <c r="L6" s="47" t="s">
        <v>88</v>
      </c>
      <c r="M6" s="37">
        <f>F6</f>
        <v>865.22918962369624</v>
      </c>
      <c r="N6" s="10" t="s">
        <v>89</v>
      </c>
    </row>
    <row r="7" spans="2:14" x14ac:dyDescent="0.25">
      <c r="B7" s="10" t="s">
        <v>150</v>
      </c>
      <c r="F7" s="37">
        <f>F5-F6</f>
        <v>16439.354602850228</v>
      </c>
      <c r="L7" s="19"/>
      <c r="M7" s="40"/>
      <c r="N7" s="19"/>
    </row>
    <row r="8" spans="2:14" x14ac:dyDescent="0.25">
      <c r="E8" s="45"/>
      <c r="F8" s="63"/>
      <c r="G8" s="24"/>
      <c r="I8" s="10" t="s">
        <v>112</v>
      </c>
      <c r="M8" s="37">
        <f>M5-M6</f>
        <v>16439.354602850228</v>
      </c>
    </row>
    <row r="9" spans="2:14" x14ac:dyDescent="0.25">
      <c r="F9" s="37"/>
      <c r="I9" s="10" t="s">
        <v>113</v>
      </c>
      <c r="L9" s="47"/>
      <c r="M9" s="37">
        <f>M8*60%</f>
        <v>9863.6127617101356</v>
      </c>
    </row>
    <row r="13" spans="2:14" x14ac:dyDescent="0.25">
      <c r="K13" s="64"/>
    </row>
  </sheetData>
  <mergeCells count="2">
    <mergeCell ref="B2:E2"/>
    <mergeCell ref="I2:L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showGridLines="0" topLeftCell="A65" zoomScale="150" zoomScaleNormal="150" workbookViewId="0">
      <selection activeCell="B71" sqref="B71"/>
    </sheetView>
  </sheetViews>
  <sheetFormatPr defaultRowHeight="15" x14ac:dyDescent="0.25"/>
  <cols>
    <col min="1" max="1" width="51.28515625" customWidth="1"/>
    <col min="2" max="2" width="11.7109375" style="165" bestFit="1" customWidth="1"/>
    <col min="3" max="3" width="9.5703125" bestFit="1" customWidth="1"/>
  </cols>
  <sheetData>
    <row r="1" spans="1:3" s="10" customFormat="1" ht="15.75" x14ac:dyDescent="0.25">
      <c r="A1" s="200" t="s">
        <v>14</v>
      </c>
      <c r="B1" s="200"/>
    </row>
    <row r="2" spans="1:3" s="10" customFormat="1" x14ac:dyDescent="0.25">
      <c r="B2" s="165"/>
    </row>
    <row r="4" spans="1:3" x14ac:dyDescent="0.25">
      <c r="A4" s="11" t="s">
        <v>15</v>
      </c>
    </row>
    <row r="5" spans="1:3" x14ac:dyDescent="0.25">
      <c r="A5" s="11"/>
    </row>
    <row r="6" spans="1:3" x14ac:dyDescent="0.25">
      <c r="A6" s="10" t="s">
        <v>10</v>
      </c>
      <c r="B6" s="166">
        <f>'EST x2 Chocolate'!E19</f>
        <v>750.82940291523425</v>
      </c>
    </row>
    <row r="7" spans="1:3" x14ac:dyDescent="0.25">
      <c r="A7" s="10" t="s">
        <v>11</v>
      </c>
      <c r="B7" s="165">
        <f>-'EST x2 Chocolate'!E18</f>
        <v>161.5</v>
      </c>
    </row>
    <row r="8" spans="1:3" x14ac:dyDescent="0.25">
      <c r="A8" s="10" t="s">
        <v>12</v>
      </c>
      <c r="B8" s="165">
        <v>300</v>
      </c>
    </row>
    <row r="9" spans="1:3" x14ac:dyDescent="0.25">
      <c r="A9" s="10" t="s">
        <v>13</v>
      </c>
      <c r="B9" s="165">
        <f>'EST x2 Chocolate'!E14</f>
        <v>650</v>
      </c>
    </row>
    <row r="10" spans="1:3" x14ac:dyDescent="0.25">
      <c r="A10" s="10" t="s">
        <v>137</v>
      </c>
      <c r="B10" s="165">
        <f>'EST x2 Chocolate'!E15</f>
        <v>37.670597084765745</v>
      </c>
      <c r="C10" s="98"/>
    </row>
    <row r="11" spans="1:3" x14ac:dyDescent="0.25">
      <c r="A11" s="10"/>
    </row>
    <row r="12" spans="1:3" x14ac:dyDescent="0.25">
      <c r="A12" s="12" t="s">
        <v>18</v>
      </c>
    </row>
    <row r="13" spans="1:3" x14ac:dyDescent="0.25">
      <c r="A13" s="10" t="s">
        <v>16</v>
      </c>
      <c r="B13" s="165">
        <f>B10</f>
        <v>37.670597084765745</v>
      </c>
      <c r="C13" s="13"/>
    </row>
    <row r="14" spans="1:3" x14ac:dyDescent="0.25">
      <c r="A14" s="10" t="s">
        <v>17</v>
      </c>
      <c r="B14" s="165">
        <f>B13</f>
        <v>37.670597084765745</v>
      </c>
    </row>
    <row r="15" spans="1:3" x14ac:dyDescent="0.25">
      <c r="A15" s="10"/>
    </row>
    <row r="16" spans="1:3" s="10" customFormat="1" x14ac:dyDescent="0.25">
      <c r="A16" s="10" t="s">
        <v>280</v>
      </c>
      <c r="B16" s="165">
        <f>B9</f>
        <v>650</v>
      </c>
    </row>
    <row r="17" spans="1:2" s="10" customFormat="1" x14ac:dyDescent="0.25">
      <c r="A17" s="10" t="s">
        <v>12</v>
      </c>
      <c r="B17" s="165">
        <f>B16</f>
        <v>650</v>
      </c>
    </row>
    <row r="18" spans="1:2" s="10" customFormat="1" x14ac:dyDescent="0.25"/>
    <row r="19" spans="1:2" x14ac:dyDescent="0.25">
      <c r="A19" s="11" t="s">
        <v>261</v>
      </c>
    </row>
    <row r="20" spans="1:2" x14ac:dyDescent="0.25">
      <c r="A20" s="10"/>
    </row>
    <row r="21" spans="1:2" x14ac:dyDescent="0.25">
      <c r="A21" s="10" t="s">
        <v>20</v>
      </c>
      <c r="B21" s="165">
        <f>230*175</f>
        <v>40250</v>
      </c>
    </row>
    <row r="22" spans="1:2" x14ac:dyDescent="0.25">
      <c r="A22" s="10" t="s">
        <v>21</v>
      </c>
      <c r="B22" s="165">
        <f>B21/1.025^5</f>
        <v>35575.13507628307</v>
      </c>
    </row>
    <row r="23" spans="1:2" x14ac:dyDescent="0.25">
      <c r="A23" s="10"/>
    </row>
    <row r="24" spans="1:2" x14ac:dyDescent="0.25">
      <c r="A24" s="12" t="s">
        <v>26</v>
      </c>
    </row>
    <row r="25" spans="1:2" x14ac:dyDescent="0.25">
      <c r="A25" s="10" t="s">
        <v>22</v>
      </c>
      <c r="B25" s="165">
        <f>B21</f>
        <v>40250</v>
      </c>
    </row>
    <row r="26" spans="1:2" x14ac:dyDescent="0.25">
      <c r="A26" s="10" t="s">
        <v>138</v>
      </c>
      <c r="B26" s="165">
        <f>B25-B27</f>
        <v>4674.8649237169302</v>
      </c>
    </row>
    <row r="27" spans="1:2" x14ac:dyDescent="0.25">
      <c r="A27" s="10" t="s">
        <v>23</v>
      </c>
      <c r="B27" s="165">
        <f>B22</f>
        <v>35575.13507628307</v>
      </c>
    </row>
    <row r="28" spans="1:2" x14ac:dyDescent="0.25">
      <c r="A28" s="10"/>
    </row>
    <row r="29" spans="1:2" x14ac:dyDescent="0.25">
      <c r="A29" s="12" t="s">
        <v>27</v>
      </c>
    </row>
    <row r="30" spans="1:2" x14ac:dyDescent="0.25">
      <c r="A30" s="10" t="s">
        <v>24</v>
      </c>
      <c r="B30" s="165">
        <f>B21*0.17</f>
        <v>6842.5000000000009</v>
      </c>
    </row>
    <row r="31" spans="1:2" x14ac:dyDescent="0.25">
      <c r="A31" s="10" t="s">
        <v>25</v>
      </c>
      <c r="B31" s="165">
        <f>B30</f>
        <v>6842.5000000000009</v>
      </c>
    </row>
    <row r="32" spans="1:2" x14ac:dyDescent="0.25">
      <c r="A32" s="10"/>
    </row>
    <row r="33" spans="1:2" x14ac:dyDescent="0.25">
      <c r="A33" s="12" t="s">
        <v>30</v>
      </c>
      <c r="B33" s="167"/>
    </row>
    <row r="34" spans="1:2" x14ac:dyDescent="0.25">
      <c r="A34" s="10" t="s">
        <v>28</v>
      </c>
      <c r="B34" s="165">
        <f>'EST x2 Chocolate'!G6</f>
        <v>3450.7630506820155</v>
      </c>
    </row>
    <row r="35" spans="1:2" x14ac:dyDescent="0.25">
      <c r="A35" s="10" t="s">
        <v>29</v>
      </c>
      <c r="B35" s="165">
        <f>B34</f>
        <v>3450.7630506820155</v>
      </c>
    </row>
    <row r="36" spans="1:2" s="10" customFormat="1" x14ac:dyDescent="0.25">
      <c r="B36" s="165"/>
    </row>
    <row r="37" spans="1:2" x14ac:dyDescent="0.25">
      <c r="A37" s="12" t="s">
        <v>18</v>
      </c>
    </row>
    <row r="38" spans="1:2" x14ac:dyDescent="0.25">
      <c r="A38" s="10" t="s">
        <v>31</v>
      </c>
      <c r="B38" s="165">
        <f>B26</f>
        <v>4674.8649237169302</v>
      </c>
    </row>
    <row r="39" spans="1:2" x14ac:dyDescent="0.25">
      <c r="A39" s="10" t="s">
        <v>32</v>
      </c>
      <c r="B39" s="165">
        <f>B38</f>
        <v>4674.8649237169302</v>
      </c>
    </row>
    <row r="40" spans="1:2" x14ac:dyDescent="0.25">
      <c r="A40" s="10"/>
    </row>
    <row r="41" spans="1:2" s="10" customFormat="1" x14ac:dyDescent="0.25">
      <c r="A41" s="10" t="s">
        <v>33</v>
      </c>
      <c r="B41" s="165">
        <f>B25</f>
        <v>40250</v>
      </c>
    </row>
    <row r="42" spans="1:2" s="10" customFormat="1" x14ac:dyDescent="0.25">
      <c r="A42" s="10" t="s">
        <v>281</v>
      </c>
      <c r="B42" s="165">
        <f>B41</f>
        <v>40250</v>
      </c>
    </row>
    <row r="43" spans="1:2" s="10" customFormat="1" x14ac:dyDescent="0.25">
      <c r="B43" s="165"/>
    </row>
    <row r="44" spans="1:2" x14ac:dyDescent="0.25">
      <c r="A44" s="11" t="s">
        <v>260</v>
      </c>
    </row>
    <row r="46" spans="1:2" x14ac:dyDescent="0.25">
      <c r="A46" s="10" t="s">
        <v>35</v>
      </c>
      <c r="B46" s="165">
        <f>'Ações '!D3</f>
        <v>1500</v>
      </c>
    </row>
    <row r="47" spans="1:2" x14ac:dyDescent="0.25">
      <c r="A47" s="10" t="s">
        <v>12</v>
      </c>
      <c r="B47" s="165">
        <f>B46</f>
        <v>1500</v>
      </c>
    </row>
    <row r="49" spans="1:9" x14ac:dyDescent="0.25">
      <c r="A49" s="10" t="s">
        <v>36</v>
      </c>
      <c r="B49" s="165">
        <f>'Ações '!D4</f>
        <v>8000</v>
      </c>
    </row>
    <row r="50" spans="1:9" x14ac:dyDescent="0.25">
      <c r="A50" s="10" t="s">
        <v>12</v>
      </c>
      <c r="B50" s="165">
        <f>B49</f>
        <v>8000</v>
      </c>
    </row>
    <row r="52" spans="1:9" x14ac:dyDescent="0.25">
      <c r="A52" s="14" t="s">
        <v>9</v>
      </c>
    </row>
    <row r="53" spans="1:9" x14ac:dyDescent="0.25">
      <c r="A53" s="10" t="s">
        <v>35</v>
      </c>
      <c r="B53" s="165">
        <f>'Ações '!E8</f>
        <v>300</v>
      </c>
      <c r="G53" s="98"/>
      <c r="H53" s="98"/>
    </row>
    <row r="54" spans="1:9" x14ac:dyDescent="0.25">
      <c r="A54" s="10" t="s">
        <v>37</v>
      </c>
      <c r="B54" s="165">
        <f>B53</f>
        <v>300</v>
      </c>
      <c r="G54" s="98"/>
    </row>
    <row r="56" spans="1:9" x14ac:dyDescent="0.25">
      <c r="A56" s="10" t="s">
        <v>36</v>
      </c>
      <c r="B56" s="165">
        <f>'Ações '!E9</f>
        <v>2000</v>
      </c>
    </row>
    <row r="57" spans="1:9" x14ac:dyDescent="0.25">
      <c r="A57" s="10" t="s">
        <v>37</v>
      </c>
      <c r="B57" s="165">
        <f>B56</f>
        <v>2000</v>
      </c>
      <c r="G57" s="98"/>
      <c r="H57" s="98"/>
      <c r="I57" s="98"/>
    </row>
    <row r="58" spans="1:9" x14ac:dyDescent="0.25">
      <c r="G58" s="128"/>
    </row>
    <row r="59" spans="1:9" x14ac:dyDescent="0.25">
      <c r="A59" s="10" t="s">
        <v>33</v>
      </c>
      <c r="B59" s="165">
        <f>50*18</f>
        <v>900</v>
      </c>
      <c r="G59" s="98"/>
    </row>
    <row r="60" spans="1:9" x14ac:dyDescent="0.25">
      <c r="A60" s="10" t="s">
        <v>38</v>
      </c>
      <c r="B60" s="165">
        <f>B59</f>
        <v>900</v>
      </c>
    </row>
    <row r="62" spans="1:9" x14ac:dyDescent="0.25">
      <c r="A62" s="11" t="s">
        <v>262</v>
      </c>
    </row>
    <row r="64" spans="1:9" x14ac:dyDescent="0.25">
      <c r="A64" s="10" t="s">
        <v>149</v>
      </c>
      <c r="B64" s="165">
        <f>'Controle do Imobilizado 2013'!B10</f>
        <v>1833.3333333333333</v>
      </c>
    </row>
    <row r="65" spans="1:4" x14ac:dyDescent="0.25">
      <c r="A65" s="10" t="s">
        <v>40</v>
      </c>
      <c r="B65" s="165">
        <f>B64</f>
        <v>1833.3333333333333</v>
      </c>
    </row>
    <row r="67" spans="1:4" x14ac:dyDescent="0.25">
      <c r="A67" s="10" t="s">
        <v>41</v>
      </c>
      <c r="B67" s="165">
        <f>'Controle do Imobilizado 2013'!B12</f>
        <v>7833.333333333333</v>
      </c>
    </row>
    <row r="68" spans="1:4" x14ac:dyDescent="0.25">
      <c r="A68" s="10" t="s">
        <v>42</v>
      </c>
      <c r="B68" s="165">
        <f>B67</f>
        <v>7833.333333333333</v>
      </c>
    </row>
    <row r="70" spans="1:4" x14ac:dyDescent="0.25">
      <c r="A70" s="10" t="s">
        <v>43</v>
      </c>
      <c r="B70" s="165">
        <f>'Controle do Imobilizado 2013'!B16</f>
        <v>2000</v>
      </c>
    </row>
    <row r="71" spans="1:4" x14ac:dyDescent="0.25">
      <c r="A71" s="10" t="s">
        <v>42</v>
      </c>
      <c r="B71" s="165">
        <f>B70</f>
        <v>2000</v>
      </c>
    </row>
    <row r="73" spans="1:4" s="10" customFormat="1" x14ac:dyDescent="0.25">
      <c r="A73" s="10" t="s">
        <v>263</v>
      </c>
      <c r="B73" s="165">
        <f>'Controle do Imobilizado 2013'!B23</f>
        <v>166.66666666666697</v>
      </c>
    </row>
    <row r="74" spans="1:4" s="10" customFormat="1" x14ac:dyDescent="0.25">
      <c r="A74" s="10" t="s">
        <v>42</v>
      </c>
      <c r="B74" s="165">
        <f>B73</f>
        <v>166.66666666666697</v>
      </c>
    </row>
    <row r="75" spans="1:4" s="10" customFormat="1" x14ac:dyDescent="0.25">
      <c r="B75" s="165"/>
    </row>
    <row r="76" spans="1:4" s="10" customFormat="1" x14ac:dyDescent="0.25">
      <c r="A76" s="11" t="s">
        <v>268</v>
      </c>
      <c r="B76" s="165"/>
    </row>
    <row r="77" spans="1:4" s="10" customFormat="1" x14ac:dyDescent="0.25">
      <c r="A77" s="11"/>
    </row>
    <row r="78" spans="1:4" s="54" customFormat="1" x14ac:dyDescent="0.25">
      <c r="A78" s="10" t="s">
        <v>265</v>
      </c>
      <c r="B78" s="165">
        <v>325000</v>
      </c>
      <c r="D78" s="170"/>
    </row>
    <row r="79" spans="1:4" s="54" customFormat="1" x14ac:dyDescent="0.25">
      <c r="A79" s="10" t="s">
        <v>266</v>
      </c>
      <c r="B79" s="165">
        <v>250000</v>
      </c>
      <c r="C79" s="170"/>
    </row>
    <row r="80" spans="1:4" s="54" customFormat="1" x14ac:dyDescent="0.25">
      <c r="A80" s="10" t="s">
        <v>267</v>
      </c>
      <c r="B80" s="165">
        <f>B78-B79</f>
        <v>75000</v>
      </c>
      <c r="C80" s="170"/>
    </row>
    <row r="81" spans="1:4" s="54" customFormat="1" x14ac:dyDescent="0.25">
      <c r="A81" s="10"/>
      <c r="C81" s="170"/>
    </row>
    <row r="82" spans="1:4" s="10" customFormat="1" x14ac:dyDescent="0.25">
      <c r="A82" s="11" t="s">
        <v>274</v>
      </c>
      <c r="B82" s="165"/>
    </row>
    <row r="83" spans="1:4" s="10" customFormat="1" x14ac:dyDescent="0.25">
      <c r="A83" s="11"/>
      <c r="B83" s="165"/>
    </row>
    <row r="84" spans="1:4" s="54" customFormat="1" x14ac:dyDescent="0.25">
      <c r="A84" s="10" t="s">
        <v>265</v>
      </c>
      <c r="B84" s="165">
        <f>dados!C11*0.7</f>
        <v>2800</v>
      </c>
      <c r="D84" s="170"/>
    </row>
    <row r="85" spans="1:4" s="54" customFormat="1" x14ac:dyDescent="0.25">
      <c r="A85" s="10" t="s">
        <v>269</v>
      </c>
      <c r="B85" s="165">
        <f>B84</f>
        <v>2800</v>
      </c>
      <c r="C85" s="170"/>
    </row>
    <row r="86" spans="1:4" s="54" customFormat="1" x14ac:dyDescent="0.25">
      <c r="A86" s="10"/>
      <c r="C86" s="170"/>
    </row>
    <row r="87" spans="1:4" s="54" customFormat="1" x14ac:dyDescent="0.25">
      <c r="A87" s="10" t="s">
        <v>270</v>
      </c>
      <c r="B87" s="165">
        <f>dados!H10*0.3</f>
        <v>2100</v>
      </c>
      <c r="D87" s="170"/>
    </row>
    <row r="88" spans="1:4" s="54" customFormat="1" x14ac:dyDescent="0.25">
      <c r="A88" s="10" t="s">
        <v>271</v>
      </c>
      <c r="B88" s="165">
        <f>B87</f>
        <v>2100</v>
      </c>
      <c r="C88" s="170"/>
    </row>
    <row r="89" spans="1:4" s="54" customFormat="1" x14ac:dyDescent="0.25">
      <c r="A89" s="10"/>
      <c r="C89" s="170"/>
    </row>
    <row r="90" spans="1:4" s="54" customFormat="1" x14ac:dyDescent="0.25">
      <c r="A90" s="10" t="s">
        <v>283</v>
      </c>
      <c r="B90" s="165">
        <f>dados!H9</f>
        <v>700</v>
      </c>
      <c r="D90" s="170"/>
    </row>
    <row r="91" spans="1:4" s="54" customFormat="1" x14ac:dyDescent="0.25">
      <c r="A91" s="10" t="s">
        <v>271</v>
      </c>
      <c r="B91" s="165">
        <f>B90</f>
        <v>700</v>
      </c>
      <c r="C91" s="170"/>
    </row>
    <row r="92" spans="1:4" s="54" customFormat="1" x14ac:dyDescent="0.25">
      <c r="A92" s="10"/>
      <c r="B92" s="165"/>
      <c r="C92" s="170"/>
    </row>
    <row r="93" spans="1:4" x14ac:dyDescent="0.25">
      <c r="A93" s="11" t="s">
        <v>275</v>
      </c>
    </row>
    <row r="95" spans="1:4" x14ac:dyDescent="0.25">
      <c r="A95" s="10" t="s">
        <v>39</v>
      </c>
      <c r="B95" s="165">
        <f>SUM(B96:B97)</f>
        <v>4000</v>
      </c>
    </row>
    <row r="96" spans="1:4" x14ac:dyDescent="0.25">
      <c r="A96" s="10" t="s">
        <v>272</v>
      </c>
      <c r="B96" s="165">
        <f>'Controle do Imobilizado 2013'!B3/10</f>
        <v>2000</v>
      </c>
    </row>
    <row r="97" spans="1:3" x14ac:dyDescent="0.25">
      <c r="A97" s="10" t="s">
        <v>273</v>
      </c>
      <c r="B97" s="165">
        <f>'Controle do Imobilizado 2013'!B5/25</f>
        <v>2000</v>
      </c>
    </row>
    <row r="99" spans="1:3" s="10" customFormat="1" x14ac:dyDescent="0.25">
      <c r="A99" s="11" t="s">
        <v>276</v>
      </c>
      <c r="B99" s="165"/>
    </row>
    <row r="100" spans="1:3" s="10" customFormat="1" x14ac:dyDescent="0.25">
      <c r="B100" s="165"/>
    </row>
    <row r="101" spans="1:3" s="10" customFormat="1" x14ac:dyDescent="0.25">
      <c r="A101" s="10" t="s">
        <v>156</v>
      </c>
      <c r="B101" s="165">
        <f>B7</f>
        <v>161.5</v>
      </c>
    </row>
    <row r="102" spans="1:3" s="10" customFormat="1" x14ac:dyDescent="0.25">
      <c r="A102" s="10" t="s">
        <v>155</v>
      </c>
      <c r="B102" s="165">
        <f>B101</f>
        <v>161.5</v>
      </c>
    </row>
    <row r="103" spans="1:3" s="10" customFormat="1" x14ac:dyDescent="0.25">
      <c r="B103" s="165"/>
    </row>
    <row r="104" spans="1:3" x14ac:dyDescent="0.25">
      <c r="A104" s="11" t="s">
        <v>157</v>
      </c>
    </row>
    <row r="106" spans="1:3" x14ac:dyDescent="0.25">
      <c r="A106" s="10" t="s">
        <v>44</v>
      </c>
      <c r="B106" s="165">
        <f>B30</f>
        <v>6842.5000000000009</v>
      </c>
    </row>
    <row r="107" spans="1:3" x14ac:dyDescent="0.25">
      <c r="A107" s="10" t="s">
        <v>277</v>
      </c>
      <c r="B107" s="165">
        <f>B73</f>
        <v>166.66666666666697</v>
      </c>
    </row>
    <row r="108" spans="1:3" x14ac:dyDescent="0.25">
      <c r="A108" s="10" t="s">
        <v>278</v>
      </c>
      <c r="B108" s="165">
        <f>B13</f>
        <v>37.670597084765745</v>
      </c>
    </row>
    <row r="109" spans="1:3" x14ac:dyDescent="0.25">
      <c r="A109" s="10" t="s">
        <v>45</v>
      </c>
      <c r="B109" s="165">
        <f>B64+B95</f>
        <v>5833.333333333333</v>
      </c>
    </row>
    <row r="110" spans="1:3" x14ac:dyDescent="0.25">
      <c r="A110" s="10" t="s">
        <v>28</v>
      </c>
      <c r="B110" s="165">
        <f>B34</f>
        <v>3450.7630506820155</v>
      </c>
    </row>
    <row r="111" spans="1:3" x14ac:dyDescent="0.25">
      <c r="A111" s="10" t="s">
        <v>46</v>
      </c>
      <c r="B111" s="165">
        <f>B27</f>
        <v>35575.13507628307</v>
      </c>
    </row>
    <row r="112" spans="1:3" x14ac:dyDescent="0.25">
      <c r="A112" s="10" t="s">
        <v>47</v>
      </c>
      <c r="B112" s="165">
        <f>B39+B54+B57</f>
        <v>6974.8649237169302</v>
      </c>
      <c r="C112" s="98"/>
    </row>
    <row r="114" spans="1:2" x14ac:dyDescent="0.25">
      <c r="A114" s="10" t="s">
        <v>52</v>
      </c>
      <c r="B114" s="165">
        <f>(B111+B112)-SUM(B106:B110)</f>
        <v>26219.066352233218</v>
      </c>
    </row>
    <row r="115" spans="1:2" x14ac:dyDescent="0.25">
      <c r="A115" s="10"/>
    </row>
    <row r="117" spans="1:2" x14ac:dyDescent="0.25">
      <c r="A117" s="10" t="s">
        <v>48</v>
      </c>
      <c r="B117" s="165">
        <f>'DRE 2013'!F34</f>
        <v>6554.7665880583045</v>
      </c>
    </row>
    <row r="118" spans="1:2" x14ac:dyDescent="0.25">
      <c r="A118" s="10" t="s">
        <v>51</v>
      </c>
      <c r="B118" s="165">
        <f>B117</f>
        <v>6554.7665880583045</v>
      </c>
    </row>
    <row r="120" spans="1:2" x14ac:dyDescent="0.25">
      <c r="A120" s="10" t="s">
        <v>48</v>
      </c>
      <c r="B120" s="165">
        <f>'DRE 2013'!F35</f>
        <v>2359.7159717009895</v>
      </c>
    </row>
    <row r="121" spans="1:2" x14ac:dyDescent="0.25">
      <c r="A121" s="10" t="s">
        <v>53</v>
      </c>
      <c r="B121" s="165">
        <f>B120</f>
        <v>2359.7159717009895</v>
      </c>
    </row>
    <row r="123" spans="1:2" x14ac:dyDescent="0.25">
      <c r="A123" s="10" t="s">
        <v>48</v>
      </c>
      <c r="B123" s="165">
        <f>B114-B117-B120</f>
        <v>17304.583792473924</v>
      </c>
    </row>
    <row r="124" spans="1:2" x14ac:dyDescent="0.25">
      <c r="A124" s="10" t="s">
        <v>49</v>
      </c>
      <c r="B124" s="165">
        <f>B123</f>
        <v>17304.583792473924</v>
      </c>
    </row>
    <row r="126" spans="1:2" x14ac:dyDescent="0.25">
      <c r="A126" s="10" t="s">
        <v>54</v>
      </c>
    </row>
    <row r="128" spans="1:2" x14ac:dyDescent="0.25">
      <c r="A128" s="10" t="s">
        <v>55</v>
      </c>
      <c r="B128" s="165">
        <f>B124</f>
        <v>17304.583792473924</v>
      </c>
    </row>
    <row r="129" spans="1:3" x14ac:dyDescent="0.25">
      <c r="A129" s="10" t="s">
        <v>56</v>
      </c>
      <c r="B129" s="165">
        <f>B128*0.05</f>
        <v>865.22918962369624</v>
      </c>
    </row>
    <row r="131" spans="1:3" x14ac:dyDescent="0.25">
      <c r="A131" s="10" t="s">
        <v>58</v>
      </c>
    </row>
    <row r="132" spans="1:3" x14ac:dyDescent="0.25">
      <c r="A132" s="10" t="s">
        <v>55</v>
      </c>
      <c r="B132" s="165">
        <f>B124</f>
        <v>17304.583792473924</v>
      </c>
    </row>
    <row r="133" spans="1:3" x14ac:dyDescent="0.25">
      <c r="A133" s="10" t="s">
        <v>56</v>
      </c>
      <c r="B133" s="165">
        <f>B129</f>
        <v>865.22918962369624</v>
      </c>
    </row>
    <row r="134" spans="1:3" x14ac:dyDescent="0.25">
      <c r="A134" s="10" t="s">
        <v>52</v>
      </c>
      <c r="B134" s="165">
        <f>B132-B133</f>
        <v>16439.354602850228</v>
      </c>
    </row>
    <row r="135" spans="1:3" x14ac:dyDescent="0.25">
      <c r="A135" s="10" t="s">
        <v>57</v>
      </c>
      <c r="B135" s="165">
        <f>B134*0.6</f>
        <v>9863.6127617101356</v>
      </c>
    </row>
    <row r="137" spans="1:3" x14ac:dyDescent="0.25">
      <c r="A137" s="10" t="s">
        <v>59</v>
      </c>
    </row>
    <row r="138" spans="1:3" x14ac:dyDescent="0.25">
      <c r="A138" s="10" t="s">
        <v>55</v>
      </c>
      <c r="B138" s="165">
        <f>B128</f>
        <v>17304.583792473924</v>
      </c>
    </row>
    <row r="139" spans="1:3" x14ac:dyDescent="0.25">
      <c r="A139" s="10" t="s">
        <v>56</v>
      </c>
      <c r="B139" s="165">
        <f>-B129</f>
        <v>-865.22918962369624</v>
      </c>
      <c r="C139" s="81"/>
    </row>
    <row r="140" spans="1:3" x14ac:dyDescent="0.25">
      <c r="A140" s="10" t="s">
        <v>60</v>
      </c>
      <c r="B140" s="165">
        <f>-B135</f>
        <v>-9863.6127617101356</v>
      </c>
      <c r="C140" s="81"/>
    </row>
    <row r="141" spans="1:3" x14ac:dyDescent="0.25">
      <c r="A141" s="10" t="s">
        <v>63</v>
      </c>
      <c r="B141" s="165">
        <f>SUM(B138:B140)</f>
        <v>6575.7418411400922</v>
      </c>
    </row>
    <row r="143" spans="1:3" x14ac:dyDescent="0.25">
      <c r="A143" s="10" t="s">
        <v>14</v>
      </c>
    </row>
    <row r="144" spans="1:3" x14ac:dyDescent="0.25">
      <c r="A144" s="10" t="s">
        <v>50</v>
      </c>
      <c r="B144" s="165">
        <f>SUM(B145:B147)</f>
        <v>17304.583792473924</v>
      </c>
    </row>
    <row r="145" spans="1:2" x14ac:dyDescent="0.25">
      <c r="A145" s="10" t="s">
        <v>61</v>
      </c>
      <c r="B145" s="165">
        <f>-B139</f>
        <v>865.22918962369624</v>
      </c>
    </row>
    <row r="146" spans="1:2" x14ac:dyDescent="0.25">
      <c r="A146" s="10" t="s">
        <v>62</v>
      </c>
      <c r="B146" s="165">
        <f>B141</f>
        <v>6575.7418411400922</v>
      </c>
    </row>
    <row r="147" spans="1:2" x14ac:dyDescent="0.25">
      <c r="A147" s="10" t="s">
        <v>64</v>
      </c>
      <c r="B147" s="165">
        <f>-B140</f>
        <v>9863.6127617101356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showGridLines="0" zoomScale="120" zoomScaleNormal="120" workbookViewId="0">
      <selection activeCell="E16" sqref="E16"/>
    </sheetView>
  </sheetViews>
  <sheetFormatPr defaultColWidth="8.85546875" defaultRowHeight="15" x14ac:dyDescent="0.25"/>
  <cols>
    <col min="1" max="1" width="4.5703125" style="10" customWidth="1"/>
    <col min="2" max="2" width="13" style="10" customWidth="1"/>
    <col min="3" max="3" width="16.42578125" style="15" customWidth="1"/>
    <col min="4" max="4" width="12.140625" style="15" bestFit="1" customWidth="1"/>
    <col min="5" max="5" width="12.140625" style="10" bestFit="1" customWidth="1"/>
    <col min="6" max="6" width="12.42578125" style="15" bestFit="1" customWidth="1"/>
    <col min="7" max="7" width="12.140625" style="15" bestFit="1" customWidth="1"/>
    <col min="8" max="8" width="14.85546875" style="10" customWidth="1"/>
    <col min="9" max="9" width="12.28515625" style="15" bestFit="1" customWidth="1"/>
    <col min="10" max="10" width="12.140625" style="15" bestFit="1" customWidth="1"/>
    <col min="11" max="16384" width="8.85546875" style="10"/>
  </cols>
  <sheetData>
    <row r="2" spans="1:10" x14ac:dyDescent="0.25">
      <c r="B2" s="203" t="s">
        <v>78</v>
      </c>
      <c r="C2" s="203"/>
      <c r="D2" s="203"/>
      <c r="E2" s="203" t="s">
        <v>77</v>
      </c>
      <c r="F2" s="203"/>
      <c r="G2" s="203"/>
      <c r="H2" s="203" t="s">
        <v>76</v>
      </c>
      <c r="I2" s="203"/>
      <c r="J2" s="203"/>
    </row>
    <row r="3" spans="1:10" x14ac:dyDescent="0.25">
      <c r="B3" s="35" t="s">
        <v>75</v>
      </c>
      <c r="C3" s="7" t="s">
        <v>74</v>
      </c>
      <c r="D3" s="7" t="s">
        <v>73</v>
      </c>
      <c r="E3" s="35" t="s">
        <v>75</v>
      </c>
      <c r="F3" s="7" t="s">
        <v>74</v>
      </c>
      <c r="G3" s="7" t="s">
        <v>73</v>
      </c>
      <c r="H3" s="35" t="s">
        <v>75</v>
      </c>
      <c r="I3" s="7" t="s">
        <v>74</v>
      </c>
      <c r="J3" s="7" t="s">
        <v>73</v>
      </c>
    </row>
    <row r="4" spans="1:10" x14ac:dyDescent="0.25">
      <c r="A4" s="34"/>
      <c r="B4" s="16">
        <v>200</v>
      </c>
      <c r="C4" s="4">
        <v>15</v>
      </c>
      <c r="D4" s="4">
        <f>B4*C4</f>
        <v>3000</v>
      </c>
      <c r="E4" s="16"/>
      <c r="F4" s="4"/>
      <c r="G4" s="4"/>
      <c r="H4" s="16">
        <f>B4</f>
        <v>200</v>
      </c>
      <c r="I4" s="4">
        <f>C4</f>
        <v>15</v>
      </c>
      <c r="J4" s="4">
        <f>H4*I4</f>
        <v>3000</v>
      </c>
    </row>
    <row r="5" spans="1:10" x14ac:dyDescent="0.25">
      <c r="A5" s="34"/>
      <c r="B5" s="147">
        <v>50</v>
      </c>
      <c r="C5" s="4">
        <f>D5/B5</f>
        <v>15.016588058304684</v>
      </c>
      <c r="D5" s="163">
        <f>E19</f>
        <v>750.82940291523425</v>
      </c>
      <c r="E5" s="16"/>
      <c r="F5" s="4"/>
      <c r="G5" s="4"/>
      <c r="H5" s="16">
        <f>H4+B5</f>
        <v>250</v>
      </c>
      <c r="I5" s="4">
        <f>J5/H5</f>
        <v>15.003317611660938</v>
      </c>
      <c r="J5" s="4">
        <f>J4+D5</f>
        <v>3750.8294029152344</v>
      </c>
    </row>
    <row r="6" spans="1:10" x14ac:dyDescent="0.25">
      <c r="A6" s="34"/>
      <c r="B6" s="33"/>
      <c r="C6" s="32"/>
      <c r="D6" s="32"/>
      <c r="E6" s="33">
        <v>230</v>
      </c>
      <c r="F6" s="32">
        <f>I5</f>
        <v>15.003317611660938</v>
      </c>
      <c r="G6" s="32">
        <f>E6*F6</f>
        <v>3450.7630506820155</v>
      </c>
      <c r="H6" s="33">
        <f>H5-E6</f>
        <v>20</v>
      </c>
      <c r="I6" s="32">
        <f>J6/H6</f>
        <v>15.003317611660941</v>
      </c>
      <c r="J6" s="32">
        <f>J5-G6</f>
        <v>300.06635223321882</v>
      </c>
    </row>
    <row r="7" spans="1:10" x14ac:dyDescent="0.25">
      <c r="A7" s="34"/>
      <c r="B7" s="77"/>
      <c r="C7" s="23"/>
      <c r="D7" s="23"/>
      <c r="E7" s="77"/>
      <c r="F7" s="23"/>
      <c r="G7" s="23"/>
      <c r="H7" s="79"/>
      <c r="I7" s="80"/>
      <c r="J7" s="80"/>
    </row>
    <row r="8" spans="1:10" x14ac:dyDescent="0.25">
      <c r="A8" s="34"/>
      <c r="B8" s="77"/>
      <c r="C8" s="23"/>
      <c r="D8" s="23"/>
      <c r="E8" s="77"/>
      <c r="G8" s="23"/>
      <c r="H8" s="79"/>
      <c r="I8" s="80"/>
      <c r="J8" s="80"/>
    </row>
    <row r="12" spans="1:10" x14ac:dyDescent="0.25">
      <c r="A12" s="24"/>
      <c r="B12" s="31" t="s">
        <v>72</v>
      </c>
      <c r="C12" s="30"/>
      <c r="D12" s="29"/>
      <c r="E12" s="28"/>
    </row>
    <row r="13" spans="1:10" x14ac:dyDescent="0.25">
      <c r="A13" s="24"/>
      <c r="B13" s="25"/>
      <c r="C13" s="24"/>
      <c r="D13" s="23"/>
      <c r="E13" s="22"/>
    </row>
    <row r="14" spans="1:10" x14ac:dyDescent="0.25">
      <c r="A14" s="24"/>
      <c r="B14" s="201" t="s">
        <v>135</v>
      </c>
      <c r="C14" s="202"/>
      <c r="D14" s="23"/>
      <c r="E14" s="22">
        <f>50*13</f>
        <v>650</v>
      </c>
    </row>
    <row r="15" spans="1:10" x14ac:dyDescent="0.25">
      <c r="A15" s="24"/>
      <c r="B15" s="78" t="s">
        <v>134</v>
      </c>
      <c r="C15" s="26"/>
      <c r="D15" s="23"/>
      <c r="E15" s="22">
        <f>E14-E16</f>
        <v>37.670597084765745</v>
      </c>
    </row>
    <row r="16" spans="1:10" x14ac:dyDescent="0.25">
      <c r="A16" s="24"/>
      <c r="B16" s="201" t="s">
        <v>136</v>
      </c>
      <c r="C16" s="202"/>
      <c r="D16" s="23"/>
      <c r="E16" s="22">
        <f>E14/(1.01)^6</f>
        <v>612.32940291523425</v>
      </c>
    </row>
    <row r="17" spans="1:10" x14ac:dyDescent="0.25">
      <c r="A17" s="24"/>
      <c r="B17" s="78" t="s">
        <v>257</v>
      </c>
      <c r="C17" s="26"/>
      <c r="D17" s="23"/>
      <c r="E17" s="22">
        <v>300</v>
      </c>
    </row>
    <row r="18" spans="1:10" x14ac:dyDescent="0.25">
      <c r="A18" s="24"/>
      <c r="B18" s="27" t="s">
        <v>71</v>
      </c>
      <c r="C18" s="24"/>
      <c r="D18" s="23"/>
      <c r="E18" s="17">
        <f>(E14+E17)*-0.17</f>
        <v>-161.5</v>
      </c>
    </row>
    <row r="19" spans="1:10" x14ac:dyDescent="0.25">
      <c r="A19" s="24"/>
      <c r="B19" s="25" t="s">
        <v>70</v>
      </c>
      <c r="C19" s="24"/>
      <c r="D19" s="23"/>
      <c r="E19" s="100">
        <f>SUM(E16:E18)</f>
        <v>750.82940291523425</v>
      </c>
    </row>
    <row r="20" spans="1:10" x14ac:dyDescent="0.25">
      <c r="A20" s="24"/>
      <c r="B20" s="20"/>
      <c r="C20" s="19"/>
      <c r="D20" s="18"/>
      <c r="E20" s="17"/>
    </row>
    <row r="21" spans="1:10" x14ac:dyDescent="0.25">
      <c r="E21" s="21"/>
      <c r="G21" s="10"/>
      <c r="I21" s="10"/>
      <c r="J21" s="10"/>
    </row>
  </sheetData>
  <mergeCells count="5">
    <mergeCell ref="B16:C16"/>
    <mergeCell ref="B2:D2"/>
    <mergeCell ref="E2:G2"/>
    <mergeCell ref="H2:J2"/>
    <mergeCell ref="B14:C1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zoomScale="150" zoomScaleNormal="150" workbookViewId="0">
      <selection activeCell="E20" sqref="E20"/>
    </sheetView>
  </sheetViews>
  <sheetFormatPr defaultColWidth="8.85546875" defaultRowHeight="15" x14ac:dyDescent="0.25"/>
  <cols>
    <col min="1" max="1" width="11.28515625" style="10" bestFit="1" customWidth="1"/>
    <col min="2" max="2" width="11.42578125" style="10" bestFit="1" customWidth="1"/>
    <col min="3" max="3" width="9.28515625" style="10" bestFit="1" customWidth="1"/>
    <col min="4" max="4" width="10.5703125" style="10" bestFit="1" customWidth="1"/>
    <col min="5" max="5" width="11.5703125" style="10" customWidth="1"/>
    <col min="6" max="6" width="19.7109375" style="10" bestFit="1" customWidth="1"/>
    <col min="7" max="7" width="8.85546875" style="87"/>
    <col min="8" max="16384" width="8.85546875" style="10"/>
  </cols>
  <sheetData>
    <row r="1" spans="1:6" x14ac:dyDescent="0.25">
      <c r="A1" s="11" t="s">
        <v>8</v>
      </c>
    </row>
    <row r="2" spans="1:6" x14ac:dyDescent="0.25">
      <c r="A2" s="8" t="s">
        <v>0</v>
      </c>
      <c r="B2" s="9" t="s">
        <v>1</v>
      </c>
      <c r="C2" s="9" t="s">
        <v>2</v>
      </c>
      <c r="D2" s="9" t="s">
        <v>3</v>
      </c>
      <c r="E2" s="88"/>
    </row>
    <row r="3" spans="1:6" x14ac:dyDescent="0.25">
      <c r="A3" s="1" t="s">
        <v>4</v>
      </c>
      <c r="B3" s="5">
        <v>100</v>
      </c>
      <c r="C3" s="6">
        <v>15</v>
      </c>
      <c r="D3" s="6">
        <f>B3*C3</f>
        <v>1500</v>
      </c>
      <c r="E3" s="86"/>
    </row>
    <row r="4" spans="1:6" x14ac:dyDescent="0.25">
      <c r="A4" s="2" t="s">
        <v>5</v>
      </c>
      <c r="B4" s="16">
        <v>400</v>
      </c>
      <c r="C4" s="7">
        <v>20</v>
      </c>
      <c r="D4" s="6">
        <f>B4*C4</f>
        <v>8000</v>
      </c>
      <c r="E4" s="86"/>
    </row>
    <row r="5" spans="1:6" x14ac:dyDescent="0.25">
      <c r="E5" s="81"/>
    </row>
    <row r="6" spans="1:6" x14ac:dyDescent="0.25">
      <c r="A6" s="85" t="s">
        <v>258</v>
      </c>
    </row>
    <row r="7" spans="1:6" x14ac:dyDescent="0.25">
      <c r="A7" s="8" t="s">
        <v>0</v>
      </c>
      <c r="B7" s="9" t="s">
        <v>1</v>
      </c>
      <c r="C7" s="9" t="s">
        <v>2</v>
      </c>
      <c r="D7" s="9" t="s">
        <v>3</v>
      </c>
      <c r="E7" s="9" t="s">
        <v>115</v>
      </c>
      <c r="F7" s="9" t="s">
        <v>6</v>
      </c>
    </row>
    <row r="8" spans="1:6" x14ac:dyDescent="0.25">
      <c r="A8" s="1" t="s">
        <v>4</v>
      </c>
      <c r="B8" s="5">
        <v>100</v>
      </c>
      <c r="C8" s="6">
        <v>18</v>
      </c>
      <c r="D8" s="6">
        <f>B8*C8</f>
        <v>1800</v>
      </c>
      <c r="E8" s="101">
        <f>(C8-C3)*B8</f>
        <v>300</v>
      </c>
      <c r="F8" s="3" t="s">
        <v>259</v>
      </c>
    </row>
    <row r="9" spans="1:6" x14ac:dyDescent="0.25">
      <c r="A9" s="2" t="s">
        <v>5</v>
      </c>
      <c r="B9" s="16">
        <v>400</v>
      </c>
      <c r="C9" s="7">
        <v>25</v>
      </c>
      <c r="D9" s="6">
        <f>B9*C9</f>
        <v>10000</v>
      </c>
      <c r="E9" s="101">
        <f>(C9-C4)*B9</f>
        <v>2000</v>
      </c>
      <c r="F9" s="3" t="s">
        <v>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opLeftCell="A7" zoomScale="120" zoomScaleNormal="120" workbookViewId="0">
      <selection activeCell="B16" sqref="B16"/>
    </sheetView>
  </sheetViews>
  <sheetFormatPr defaultColWidth="8.85546875" defaultRowHeight="15" x14ac:dyDescent="0.25"/>
  <cols>
    <col min="1" max="1" width="38.42578125" style="10" customWidth="1"/>
    <col min="2" max="2" width="14.85546875" style="13" customWidth="1"/>
    <col min="3" max="3" width="19.5703125" style="10" customWidth="1"/>
    <col min="4" max="4" width="12.5703125" style="10" bestFit="1" customWidth="1"/>
    <col min="5" max="16384" width="8.85546875" style="10"/>
  </cols>
  <sheetData>
    <row r="1" spans="1:6" x14ac:dyDescent="0.25">
      <c r="A1" s="12" t="s">
        <v>69</v>
      </c>
    </row>
    <row r="2" spans="1:6" ht="30" x14ac:dyDescent="0.25">
      <c r="A2" s="1" t="s">
        <v>68</v>
      </c>
      <c r="B2" s="90" t="s">
        <v>67</v>
      </c>
      <c r="C2" s="5" t="s">
        <v>66</v>
      </c>
      <c r="D2" s="147" t="s">
        <v>65</v>
      </c>
    </row>
    <row r="3" spans="1:6" x14ac:dyDescent="0.25">
      <c r="A3" s="155" t="s">
        <v>234</v>
      </c>
      <c r="B3" s="168">
        <v>20000</v>
      </c>
      <c r="C3" s="169" t="s">
        <v>254</v>
      </c>
      <c r="D3" s="168">
        <f>B3/10*5</f>
        <v>10000</v>
      </c>
      <c r="E3" s="98"/>
      <c r="F3" s="98"/>
    </row>
    <row r="4" spans="1:6" x14ac:dyDescent="0.25">
      <c r="A4" s="155" t="s">
        <v>80</v>
      </c>
      <c r="B4" s="168">
        <v>10000</v>
      </c>
      <c r="C4" s="169" t="s">
        <v>255</v>
      </c>
      <c r="D4" s="168">
        <v>6000</v>
      </c>
      <c r="E4" s="98"/>
      <c r="F4" s="98"/>
    </row>
    <row r="5" spans="1:6" x14ac:dyDescent="0.25">
      <c r="A5" s="155" t="s">
        <v>236</v>
      </c>
      <c r="B5" s="168">
        <v>50000</v>
      </c>
      <c r="C5" s="169" t="s">
        <v>256</v>
      </c>
      <c r="D5" s="168">
        <f>B5/25*10</f>
        <v>20000</v>
      </c>
      <c r="E5" s="98"/>
      <c r="F5" s="98"/>
    </row>
    <row r="6" spans="1:6" x14ac:dyDescent="0.25">
      <c r="A6" s="155" t="s">
        <v>34</v>
      </c>
      <c r="B6" s="168">
        <f>SUM(B3:B5)</f>
        <v>80000</v>
      </c>
      <c r="C6" s="169"/>
      <c r="D6" s="168">
        <f>SUM(D3:D5)</f>
        <v>36000</v>
      </c>
      <c r="E6" s="98"/>
      <c r="F6" s="98"/>
    </row>
    <row r="8" spans="1:6" ht="20.25" customHeight="1" x14ac:dyDescent="0.25">
      <c r="A8" s="84" t="s">
        <v>140</v>
      </c>
      <c r="E8" s="89" t="s">
        <v>139</v>
      </c>
    </row>
    <row r="10" spans="1:6" x14ac:dyDescent="0.25">
      <c r="A10" s="84" t="s">
        <v>162</v>
      </c>
      <c r="B10" s="13">
        <f>B4/5/12*11</f>
        <v>1833.3333333333333</v>
      </c>
    </row>
    <row r="11" spans="1:6" x14ac:dyDescent="0.25">
      <c r="A11" s="76" t="s">
        <v>141</v>
      </c>
      <c r="B11" s="13">
        <f>D4</f>
        <v>6000</v>
      </c>
    </row>
    <row r="12" spans="1:6" x14ac:dyDescent="0.25">
      <c r="A12" s="84" t="s">
        <v>142</v>
      </c>
      <c r="B12" s="13">
        <f>B10+B11</f>
        <v>7833.333333333333</v>
      </c>
    </row>
    <row r="13" spans="1:6" x14ac:dyDescent="0.25">
      <c r="A13" s="76" t="s">
        <v>143</v>
      </c>
      <c r="B13" s="13">
        <f>B4</f>
        <v>10000</v>
      </c>
    </row>
    <row r="14" spans="1:6" x14ac:dyDescent="0.25">
      <c r="A14" s="91" t="s">
        <v>144</v>
      </c>
      <c r="B14" s="92">
        <f>B13-B12</f>
        <v>2166.666666666667</v>
      </c>
    </row>
    <row r="15" spans="1:6" x14ac:dyDescent="0.25">
      <c r="A15" s="91" t="s">
        <v>297</v>
      </c>
      <c r="B15" s="92">
        <f>-B23</f>
        <v>-166.66666666666697</v>
      </c>
    </row>
    <row r="16" spans="1:6" x14ac:dyDescent="0.25">
      <c r="A16" s="91" t="s">
        <v>298</v>
      </c>
      <c r="B16" s="92">
        <f>B14+B15</f>
        <v>2000</v>
      </c>
    </row>
    <row r="17" spans="1:2" s="24" customFormat="1" x14ac:dyDescent="0.25">
      <c r="B17" s="212"/>
    </row>
    <row r="18" spans="1:2" x14ac:dyDescent="0.25">
      <c r="A18" s="84" t="s">
        <v>147</v>
      </c>
      <c r="B18" s="13">
        <v>3500</v>
      </c>
    </row>
    <row r="19" spans="1:2" x14ac:dyDescent="0.25">
      <c r="A19" s="84" t="s">
        <v>145</v>
      </c>
      <c r="B19" s="13">
        <v>1000</v>
      </c>
    </row>
    <row r="20" spans="1:2" x14ac:dyDescent="0.25">
      <c r="A20" s="10" t="s">
        <v>146</v>
      </c>
      <c r="B20" s="13">
        <v>500</v>
      </c>
    </row>
    <row r="21" spans="1:2" x14ac:dyDescent="0.25">
      <c r="A21" s="84" t="s">
        <v>148</v>
      </c>
      <c r="B21" s="13">
        <f>B18-B19-B20</f>
        <v>2000</v>
      </c>
    </row>
    <row r="23" spans="1:2" x14ac:dyDescent="0.25">
      <c r="A23" s="84" t="s">
        <v>264</v>
      </c>
      <c r="B23" s="13">
        <f>B14-B21</f>
        <v>166.66666666666697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showGridLines="0" topLeftCell="A32" zoomScale="180" zoomScaleNormal="180" workbookViewId="0">
      <selection activeCell="F43" sqref="F43"/>
    </sheetView>
  </sheetViews>
  <sheetFormatPr defaultColWidth="9.140625" defaultRowHeight="15" x14ac:dyDescent="0.25"/>
  <cols>
    <col min="1" max="1" width="34.7109375" style="10" bestFit="1" customWidth="1"/>
    <col min="2" max="2" width="13.5703125" style="10" customWidth="1"/>
    <col min="3" max="3" width="9.140625" style="10" customWidth="1"/>
    <col min="4" max="4" width="9.140625" style="10"/>
    <col min="5" max="5" width="2.140625" style="10" customWidth="1"/>
    <col min="6" max="6" width="17.42578125" style="10" customWidth="1"/>
    <col min="7" max="7" width="9.140625" style="10"/>
    <col min="8" max="8" width="11.140625" style="10" bestFit="1" customWidth="1"/>
    <col min="9" max="16384" width="9.140625" style="10"/>
  </cols>
  <sheetData>
    <row r="2" spans="1:7" x14ac:dyDescent="0.25">
      <c r="B2" s="36" t="s">
        <v>84</v>
      </c>
      <c r="C2" s="36"/>
      <c r="D2" s="36"/>
    </row>
    <row r="4" spans="1:7" x14ac:dyDescent="0.25">
      <c r="A4" s="10" t="s">
        <v>85</v>
      </c>
      <c r="F4" s="37">
        <f>Lançamentos!B27</f>
        <v>35575.13507628307</v>
      </c>
    </row>
    <row r="5" spans="1:7" x14ac:dyDescent="0.25">
      <c r="A5" s="10" t="s">
        <v>86</v>
      </c>
      <c r="F5" s="37"/>
    </row>
    <row r="6" spans="1:7" x14ac:dyDescent="0.25">
      <c r="A6" s="38" t="s">
        <v>87</v>
      </c>
      <c r="E6" s="39" t="s">
        <v>88</v>
      </c>
      <c r="F6" s="40">
        <f>Lançamentos!B30</f>
        <v>6842.5000000000009</v>
      </c>
      <c r="G6" s="19" t="s">
        <v>89</v>
      </c>
    </row>
    <row r="7" spans="1:7" x14ac:dyDescent="0.25">
      <c r="A7" s="10" t="s">
        <v>90</v>
      </c>
      <c r="F7" s="37">
        <f>F4-F6</f>
        <v>28732.63507628307</v>
      </c>
    </row>
    <row r="11" spans="1:7" x14ac:dyDescent="0.25">
      <c r="B11" s="199" t="s">
        <v>91</v>
      </c>
      <c r="C11" s="199"/>
      <c r="D11" s="199"/>
      <c r="E11" s="199"/>
      <c r="F11" s="199"/>
    </row>
    <row r="12" spans="1:7" x14ac:dyDescent="0.25">
      <c r="B12" s="199" t="s">
        <v>92</v>
      </c>
      <c r="C12" s="199"/>
      <c r="D12" s="199"/>
      <c r="E12" s="199"/>
      <c r="F12" s="199"/>
    </row>
    <row r="13" spans="1:7" x14ac:dyDescent="0.25">
      <c r="B13" s="199" t="s">
        <v>93</v>
      </c>
      <c r="C13" s="199"/>
      <c r="D13" s="199"/>
      <c r="E13" s="199"/>
      <c r="F13" s="199"/>
    </row>
    <row r="14" spans="1:7" x14ac:dyDescent="0.25">
      <c r="B14" s="199" t="s">
        <v>94</v>
      </c>
      <c r="C14" s="199"/>
      <c r="D14" s="199"/>
      <c r="E14" s="199"/>
      <c r="F14" s="199"/>
    </row>
    <row r="15" spans="1:7" x14ac:dyDescent="0.25">
      <c r="F15" s="41"/>
    </row>
    <row r="16" spans="1:7" x14ac:dyDescent="0.25">
      <c r="C16" s="99"/>
      <c r="F16" s="41"/>
    </row>
    <row r="17" spans="1:8" x14ac:dyDescent="0.25">
      <c r="A17" s="10" t="s">
        <v>95</v>
      </c>
      <c r="C17" s="99"/>
      <c r="F17" s="37">
        <f>F7</f>
        <v>28732.63507628307</v>
      </c>
    </row>
    <row r="18" spans="1:8" x14ac:dyDescent="0.25">
      <c r="A18" s="10" t="s">
        <v>96</v>
      </c>
      <c r="E18" s="39" t="s">
        <v>88</v>
      </c>
      <c r="F18" s="40">
        <f>Lançamentos!B34</f>
        <v>3450.7630506820155</v>
      </c>
      <c r="G18" s="19" t="s">
        <v>89</v>
      </c>
    </row>
    <row r="19" spans="1:8" x14ac:dyDescent="0.25">
      <c r="A19" s="42" t="s">
        <v>97</v>
      </c>
      <c r="B19" s="42"/>
      <c r="C19" s="42"/>
      <c r="D19" s="42"/>
      <c r="E19" s="42"/>
      <c r="F19" s="43">
        <f>F17-F18</f>
        <v>25281.872025601053</v>
      </c>
      <c r="G19" s="44"/>
    </row>
    <row r="20" spans="1:8" x14ac:dyDescent="0.25">
      <c r="F20" s="37"/>
    </row>
    <row r="21" spans="1:8" x14ac:dyDescent="0.25">
      <c r="A21" s="11" t="s">
        <v>98</v>
      </c>
      <c r="F21" s="37"/>
    </row>
    <row r="22" spans="1:8" x14ac:dyDescent="0.25">
      <c r="A22" s="38" t="s">
        <v>279</v>
      </c>
      <c r="E22" s="47" t="s">
        <v>88</v>
      </c>
      <c r="F22" s="48">
        <f>Lançamentos!B73</f>
        <v>166.66666666666697</v>
      </c>
      <c r="G22" s="10" t="s">
        <v>89</v>
      </c>
    </row>
    <row r="23" spans="1:8" x14ac:dyDescent="0.25">
      <c r="A23" s="38" t="s">
        <v>99</v>
      </c>
      <c r="E23" s="47" t="s">
        <v>88</v>
      </c>
      <c r="F23" s="48">
        <f>Lançamentos!B95+Lançamentos!B64</f>
        <v>5833.333333333333</v>
      </c>
      <c r="G23" s="10" t="s">
        <v>89</v>
      </c>
    </row>
    <row r="24" spans="1:8" x14ac:dyDescent="0.25">
      <c r="A24" s="38"/>
      <c r="E24" s="45"/>
      <c r="F24" s="46"/>
      <c r="G24" s="24"/>
    </row>
    <row r="25" spans="1:8" s="11" customFormat="1" x14ac:dyDescent="0.25">
      <c r="A25" s="42" t="s">
        <v>100</v>
      </c>
      <c r="B25" s="42"/>
      <c r="C25" s="42"/>
      <c r="D25" s="42"/>
      <c r="E25" s="49"/>
      <c r="F25" s="50">
        <f>F19-F22-F23</f>
        <v>19281.872025601053</v>
      </c>
      <c r="G25" s="49"/>
      <c r="H25" s="97"/>
    </row>
    <row r="26" spans="1:8" s="51" customFormat="1" x14ac:dyDescent="0.25">
      <c r="E26" s="52"/>
      <c r="F26" s="53"/>
      <c r="G26" s="52"/>
    </row>
    <row r="27" spans="1:8" s="11" customFormat="1" x14ac:dyDescent="0.25">
      <c r="A27" s="54" t="s">
        <v>101</v>
      </c>
      <c r="C27" s="99"/>
      <c r="E27" s="55"/>
      <c r="F27" s="96">
        <f>Lançamentos!B39+Lançamentos!B54+Lançamentos!B57</f>
        <v>6974.8649237169302</v>
      </c>
      <c r="G27" s="55"/>
      <c r="H27" s="54"/>
    </row>
    <row r="28" spans="1:8" s="54" customFormat="1" x14ac:dyDescent="0.25">
      <c r="A28" s="54" t="s">
        <v>102</v>
      </c>
      <c r="C28" s="99"/>
      <c r="E28" s="56" t="s">
        <v>88</v>
      </c>
      <c r="F28" s="57">
        <f>Lançamentos!B13</f>
        <v>37.670597084765745</v>
      </c>
      <c r="G28" s="58" t="s">
        <v>89</v>
      </c>
    </row>
    <row r="29" spans="1:8" s="11" customFormat="1" x14ac:dyDescent="0.25">
      <c r="E29" s="59"/>
      <c r="F29" s="60"/>
      <c r="G29" s="55"/>
    </row>
    <row r="30" spans="1:8" s="11" customFormat="1" x14ac:dyDescent="0.25">
      <c r="A30" s="42" t="s">
        <v>103</v>
      </c>
      <c r="B30" s="42"/>
      <c r="C30" s="42"/>
      <c r="D30" s="42"/>
      <c r="E30" s="49"/>
      <c r="F30" s="50">
        <f>F27-F28</f>
        <v>6937.1943266321641</v>
      </c>
      <c r="G30" s="49"/>
    </row>
    <row r="31" spans="1:8" s="11" customFormat="1" x14ac:dyDescent="0.25">
      <c r="E31" s="59"/>
      <c r="F31" s="60"/>
      <c r="G31" s="55"/>
    </row>
    <row r="32" spans="1:8" s="11" customFormat="1" x14ac:dyDescent="0.25">
      <c r="A32" s="42" t="s">
        <v>104</v>
      </c>
      <c r="B32" s="42"/>
      <c r="C32" s="42"/>
      <c r="D32" s="42"/>
      <c r="E32" s="49"/>
      <c r="F32" s="50">
        <f>F25+F30</f>
        <v>26219.066352233218</v>
      </c>
      <c r="G32" s="49"/>
    </row>
    <row r="33" spans="1:7" s="51" customFormat="1" x14ac:dyDescent="0.25">
      <c r="E33" s="52"/>
      <c r="F33" s="53"/>
      <c r="G33" s="52"/>
    </row>
    <row r="34" spans="1:7" x14ac:dyDescent="0.25">
      <c r="A34" s="10" t="s">
        <v>105</v>
      </c>
      <c r="C34" s="99"/>
      <c r="E34" s="61" t="s">
        <v>88</v>
      </c>
      <c r="F34" s="37">
        <f>F32*25%</f>
        <v>6554.7665880583045</v>
      </c>
      <c r="G34" s="10" t="s">
        <v>89</v>
      </c>
    </row>
    <row r="35" spans="1:7" x14ac:dyDescent="0.25">
      <c r="A35" s="10" t="s">
        <v>106</v>
      </c>
      <c r="C35" s="99"/>
      <c r="E35" s="39" t="s">
        <v>88</v>
      </c>
      <c r="F35" s="62">
        <f>F32*9%</f>
        <v>2359.7159717009895</v>
      </c>
      <c r="G35" s="19" t="s">
        <v>89</v>
      </c>
    </row>
    <row r="36" spans="1:7" x14ac:dyDescent="0.25">
      <c r="E36" s="45"/>
      <c r="F36" s="63"/>
      <c r="G36" s="24"/>
    </row>
    <row r="37" spans="1:7" x14ac:dyDescent="0.25">
      <c r="A37" s="42" t="s">
        <v>55</v>
      </c>
      <c r="B37" s="42"/>
      <c r="C37" s="42"/>
      <c r="D37" s="42"/>
      <c r="E37" s="49"/>
      <c r="F37" s="50">
        <f>F32-F34-F35</f>
        <v>17304.583792473924</v>
      </c>
      <c r="G37" s="49"/>
    </row>
  </sheetData>
  <mergeCells count="4">
    <mergeCell ref="B11:F11"/>
    <mergeCell ref="B12:F12"/>
    <mergeCell ref="B13:F13"/>
    <mergeCell ref="B14:F14"/>
  </mergeCells>
  <pageMargins left="0.511811024" right="0.511811024" top="0.78740157499999996" bottom="0.78740157499999996" header="0.31496062000000002" footer="0.31496062000000002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opLeftCell="A12" zoomScale="150" zoomScaleNormal="150" zoomScaleSheetLayoutView="80" workbookViewId="0">
      <selection activeCell="C15" sqref="C15:C24"/>
    </sheetView>
  </sheetViews>
  <sheetFormatPr defaultRowHeight="12.75" x14ac:dyDescent="0.2"/>
  <cols>
    <col min="1" max="1" width="22" style="149" customWidth="1"/>
    <col min="2" max="2" width="11.42578125" style="149" customWidth="1"/>
    <col min="3" max="3" width="15.85546875" style="149" customWidth="1"/>
    <col min="4" max="4" width="11.5703125" style="149" customWidth="1"/>
    <col min="5" max="5" width="2.140625" style="149" customWidth="1"/>
    <col min="6" max="6" width="36.140625" style="149" customWidth="1"/>
    <col min="7" max="7" width="11.7109375" style="149" customWidth="1"/>
    <col min="8" max="8" width="12" style="149" customWidth="1"/>
    <col min="9" max="9" width="11.5703125" style="149" customWidth="1"/>
    <col min="10" max="10" width="14.140625" style="149" customWidth="1"/>
    <col min="11" max="11" width="11.140625" style="149" customWidth="1"/>
    <col min="12" max="260" width="9.140625" style="149"/>
    <col min="261" max="261" width="20" style="149" customWidth="1"/>
    <col min="262" max="262" width="11.5703125" style="149" bestFit="1" customWidth="1"/>
    <col min="263" max="263" width="36.140625" style="149" customWidth="1"/>
    <col min="264" max="264" width="13.42578125" style="149" customWidth="1"/>
    <col min="265" max="265" width="16.7109375" style="149" customWidth="1"/>
    <col min="266" max="266" width="14.140625" style="149" customWidth="1"/>
    <col min="267" max="267" width="11.140625" style="149" customWidth="1"/>
    <col min="268" max="516" width="9.140625" style="149"/>
    <col min="517" max="517" width="20" style="149" customWidth="1"/>
    <col min="518" max="518" width="11.5703125" style="149" bestFit="1" customWidth="1"/>
    <col min="519" max="519" width="36.140625" style="149" customWidth="1"/>
    <col min="520" max="520" width="13.42578125" style="149" customWidth="1"/>
    <col min="521" max="521" width="16.7109375" style="149" customWidth="1"/>
    <col min="522" max="522" width="14.140625" style="149" customWidth="1"/>
    <col min="523" max="523" width="11.140625" style="149" customWidth="1"/>
    <col min="524" max="772" width="9.140625" style="149"/>
    <col min="773" max="773" width="20" style="149" customWidth="1"/>
    <col min="774" max="774" width="11.5703125" style="149" bestFit="1" customWidth="1"/>
    <col min="775" max="775" width="36.140625" style="149" customWidth="1"/>
    <col min="776" max="776" width="13.42578125" style="149" customWidth="1"/>
    <col min="777" max="777" width="16.7109375" style="149" customWidth="1"/>
    <col min="778" max="778" width="14.140625" style="149" customWidth="1"/>
    <col min="779" max="779" width="11.140625" style="149" customWidth="1"/>
    <col min="780" max="1028" width="9.140625" style="149"/>
    <col min="1029" max="1029" width="20" style="149" customWidth="1"/>
    <col min="1030" max="1030" width="11.5703125" style="149" bestFit="1" customWidth="1"/>
    <col min="1031" max="1031" width="36.140625" style="149" customWidth="1"/>
    <col min="1032" max="1032" width="13.42578125" style="149" customWidth="1"/>
    <col min="1033" max="1033" width="16.7109375" style="149" customWidth="1"/>
    <col min="1034" max="1034" width="14.140625" style="149" customWidth="1"/>
    <col min="1035" max="1035" width="11.140625" style="149" customWidth="1"/>
    <col min="1036" max="1284" width="9.140625" style="149"/>
    <col min="1285" max="1285" width="20" style="149" customWidth="1"/>
    <col min="1286" max="1286" width="11.5703125" style="149" bestFit="1" customWidth="1"/>
    <col min="1287" max="1287" width="36.140625" style="149" customWidth="1"/>
    <col min="1288" max="1288" width="13.42578125" style="149" customWidth="1"/>
    <col min="1289" max="1289" width="16.7109375" style="149" customWidth="1"/>
    <col min="1290" max="1290" width="14.140625" style="149" customWidth="1"/>
    <col min="1291" max="1291" width="11.140625" style="149" customWidth="1"/>
    <col min="1292" max="1540" width="9.140625" style="149"/>
    <col min="1541" max="1541" width="20" style="149" customWidth="1"/>
    <col min="1542" max="1542" width="11.5703125" style="149" bestFit="1" customWidth="1"/>
    <col min="1543" max="1543" width="36.140625" style="149" customWidth="1"/>
    <col min="1544" max="1544" width="13.42578125" style="149" customWidth="1"/>
    <col min="1545" max="1545" width="16.7109375" style="149" customWidth="1"/>
    <col min="1546" max="1546" width="14.140625" style="149" customWidth="1"/>
    <col min="1547" max="1547" width="11.140625" style="149" customWidth="1"/>
    <col min="1548" max="1796" width="9.140625" style="149"/>
    <col min="1797" max="1797" width="20" style="149" customWidth="1"/>
    <col min="1798" max="1798" width="11.5703125" style="149" bestFit="1" customWidth="1"/>
    <col min="1799" max="1799" width="36.140625" style="149" customWidth="1"/>
    <col min="1800" max="1800" width="13.42578125" style="149" customWidth="1"/>
    <col min="1801" max="1801" width="16.7109375" style="149" customWidth="1"/>
    <col min="1802" max="1802" width="14.140625" style="149" customWidth="1"/>
    <col min="1803" max="1803" width="11.140625" style="149" customWidth="1"/>
    <col min="1804" max="2052" width="9.140625" style="149"/>
    <col min="2053" max="2053" width="20" style="149" customWidth="1"/>
    <col min="2054" max="2054" width="11.5703125" style="149" bestFit="1" customWidth="1"/>
    <col min="2055" max="2055" width="36.140625" style="149" customWidth="1"/>
    <col min="2056" max="2056" width="13.42578125" style="149" customWidth="1"/>
    <col min="2057" max="2057" width="16.7109375" style="149" customWidth="1"/>
    <col min="2058" max="2058" width="14.140625" style="149" customWidth="1"/>
    <col min="2059" max="2059" width="11.140625" style="149" customWidth="1"/>
    <col min="2060" max="2308" width="9.140625" style="149"/>
    <col min="2309" max="2309" width="20" style="149" customWidth="1"/>
    <col min="2310" max="2310" width="11.5703125" style="149" bestFit="1" customWidth="1"/>
    <col min="2311" max="2311" width="36.140625" style="149" customWidth="1"/>
    <col min="2312" max="2312" width="13.42578125" style="149" customWidth="1"/>
    <col min="2313" max="2313" width="16.7109375" style="149" customWidth="1"/>
    <col min="2314" max="2314" width="14.140625" style="149" customWidth="1"/>
    <col min="2315" max="2315" width="11.140625" style="149" customWidth="1"/>
    <col min="2316" max="2564" width="9.140625" style="149"/>
    <col min="2565" max="2565" width="20" style="149" customWidth="1"/>
    <col min="2566" max="2566" width="11.5703125" style="149" bestFit="1" customWidth="1"/>
    <col min="2567" max="2567" width="36.140625" style="149" customWidth="1"/>
    <col min="2568" max="2568" width="13.42578125" style="149" customWidth="1"/>
    <col min="2569" max="2569" width="16.7109375" style="149" customWidth="1"/>
    <col min="2570" max="2570" width="14.140625" style="149" customWidth="1"/>
    <col min="2571" max="2571" width="11.140625" style="149" customWidth="1"/>
    <col min="2572" max="2820" width="9.140625" style="149"/>
    <col min="2821" max="2821" width="20" style="149" customWidth="1"/>
    <col min="2822" max="2822" width="11.5703125" style="149" bestFit="1" customWidth="1"/>
    <col min="2823" max="2823" width="36.140625" style="149" customWidth="1"/>
    <col min="2824" max="2824" width="13.42578125" style="149" customWidth="1"/>
    <col min="2825" max="2825" width="16.7109375" style="149" customWidth="1"/>
    <col min="2826" max="2826" width="14.140625" style="149" customWidth="1"/>
    <col min="2827" max="2827" width="11.140625" style="149" customWidth="1"/>
    <col min="2828" max="3076" width="9.140625" style="149"/>
    <col min="3077" max="3077" width="20" style="149" customWidth="1"/>
    <col min="3078" max="3078" width="11.5703125" style="149" bestFit="1" customWidth="1"/>
    <col min="3079" max="3079" width="36.140625" style="149" customWidth="1"/>
    <col min="3080" max="3080" width="13.42578125" style="149" customWidth="1"/>
    <col min="3081" max="3081" width="16.7109375" style="149" customWidth="1"/>
    <col min="3082" max="3082" width="14.140625" style="149" customWidth="1"/>
    <col min="3083" max="3083" width="11.140625" style="149" customWidth="1"/>
    <col min="3084" max="3332" width="9.140625" style="149"/>
    <col min="3333" max="3333" width="20" style="149" customWidth="1"/>
    <col min="3334" max="3334" width="11.5703125" style="149" bestFit="1" customWidth="1"/>
    <col min="3335" max="3335" width="36.140625" style="149" customWidth="1"/>
    <col min="3336" max="3336" width="13.42578125" style="149" customWidth="1"/>
    <col min="3337" max="3337" width="16.7109375" style="149" customWidth="1"/>
    <col min="3338" max="3338" width="14.140625" style="149" customWidth="1"/>
    <col min="3339" max="3339" width="11.140625" style="149" customWidth="1"/>
    <col min="3340" max="3588" width="9.140625" style="149"/>
    <col min="3589" max="3589" width="20" style="149" customWidth="1"/>
    <col min="3590" max="3590" width="11.5703125" style="149" bestFit="1" customWidth="1"/>
    <col min="3591" max="3591" width="36.140625" style="149" customWidth="1"/>
    <col min="3592" max="3592" width="13.42578125" style="149" customWidth="1"/>
    <col min="3593" max="3593" width="16.7109375" style="149" customWidth="1"/>
    <col min="3594" max="3594" width="14.140625" style="149" customWidth="1"/>
    <col min="3595" max="3595" width="11.140625" style="149" customWidth="1"/>
    <col min="3596" max="3844" width="9.140625" style="149"/>
    <col min="3845" max="3845" width="20" style="149" customWidth="1"/>
    <col min="3846" max="3846" width="11.5703125" style="149" bestFit="1" customWidth="1"/>
    <col min="3847" max="3847" width="36.140625" style="149" customWidth="1"/>
    <col min="3848" max="3848" width="13.42578125" style="149" customWidth="1"/>
    <col min="3849" max="3849" width="16.7109375" style="149" customWidth="1"/>
    <col min="3850" max="3850" width="14.140625" style="149" customWidth="1"/>
    <col min="3851" max="3851" width="11.140625" style="149" customWidth="1"/>
    <col min="3852" max="4100" width="9.140625" style="149"/>
    <col min="4101" max="4101" width="20" style="149" customWidth="1"/>
    <col min="4102" max="4102" width="11.5703125" style="149" bestFit="1" customWidth="1"/>
    <col min="4103" max="4103" width="36.140625" style="149" customWidth="1"/>
    <col min="4104" max="4104" width="13.42578125" style="149" customWidth="1"/>
    <col min="4105" max="4105" width="16.7109375" style="149" customWidth="1"/>
    <col min="4106" max="4106" width="14.140625" style="149" customWidth="1"/>
    <col min="4107" max="4107" width="11.140625" style="149" customWidth="1"/>
    <col min="4108" max="4356" width="9.140625" style="149"/>
    <col min="4357" max="4357" width="20" style="149" customWidth="1"/>
    <col min="4358" max="4358" width="11.5703125" style="149" bestFit="1" customWidth="1"/>
    <col min="4359" max="4359" width="36.140625" style="149" customWidth="1"/>
    <col min="4360" max="4360" width="13.42578125" style="149" customWidth="1"/>
    <col min="4361" max="4361" width="16.7109375" style="149" customWidth="1"/>
    <col min="4362" max="4362" width="14.140625" style="149" customWidth="1"/>
    <col min="4363" max="4363" width="11.140625" style="149" customWidth="1"/>
    <col min="4364" max="4612" width="9.140625" style="149"/>
    <col min="4613" max="4613" width="20" style="149" customWidth="1"/>
    <col min="4614" max="4614" width="11.5703125" style="149" bestFit="1" customWidth="1"/>
    <col min="4615" max="4615" width="36.140625" style="149" customWidth="1"/>
    <col min="4616" max="4616" width="13.42578125" style="149" customWidth="1"/>
    <col min="4617" max="4617" width="16.7109375" style="149" customWidth="1"/>
    <col min="4618" max="4618" width="14.140625" style="149" customWidth="1"/>
    <col min="4619" max="4619" width="11.140625" style="149" customWidth="1"/>
    <col min="4620" max="4868" width="9.140625" style="149"/>
    <col min="4869" max="4869" width="20" style="149" customWidth="1"/>
    <col min="4870" max="4870" width="11.5703125" style="149" bestFit="1" customWidth="1"/>
    <col min="4871" max="4871" width="36.140625" style="149" customWidth="1"/>
    <col min="4872" max="4872" width="13.42578125" style="149" customWidth="1"/>
    <col min="4873" max="4873" width="16.7109375" style="149" customWidth="1"/>
    <col min="4874" max="4874" width="14.140625" style="149" customWidth="1"/>
    <col min="4875" max="4875" width="11.140625" style="149" customWidth="1"/>
    <col min="4876" max="5124" width="9.140625" style="149"/>
    <col min="5125" max="5125" width="20" style="149" customWidth="1"/>
    <col min="5126" max="5126" width="11.5703125" style="149" bestFit="1" customWidth="1"/>
    <col min="5127" max="5127" width="36.140625" style="149" customWidth="1"/>
    <col min="5128" max="5128" width="13.42578125" style="149" customWidth="1"/>
    <col min="5129" max="5129" width="16.7109375" style="149" customWidth="1"/>
    <col min="5130" max="5130" width="14.140625" style="149" customWidth="1"/>
    <col min="5131" max="5131" width="11.140625" style="149" customWidth="1"/>
    <col min="5132" max="5380" width="9.140625" style="149"/>
    <col min="5381" max="5381" width="20" style="149" customWidth="1"/>
    <col min="5382" max="5382" width="11.5703125" style="149" bestFit="1" customWidth="1"/>
    <col min="5383" max="5383" width="36.140625" style="149" customWidth="1"/>
    <col min="5384" max="5384" width="13.42578125" style="149" customWidth="1"/>
    <col min="5385" max="5385" width="16.7109375" style="149" customWidth="1"/>
    <col min="5386" max="5386" width="14.140625" style="149" customWidth="1"/>
    <col min="5387" max="5387" width="11.140625" style="149" customWidth="1"/>
    <col min="5388" max="5636" width="9.140625" style="149"/>
    <col min="5637" max="5637" width="20" style="149" customWidth="1"/>
    <col min="5638" max="5638" width="11.5703125" style="149" bestFit="1" customWidth="1"/>
    <col min="5639" max="5639" width="36.140625" style="149" customWidth="1"/>
    <col min="5640" max="5640" width="13.42578125" style="149" customWidth="1"/>
    <col min="5641" max="5641" width="16.7109375" style="149" customWidth="1"/>
    <col min="5642" max="5642" width="14.140625" style="149" customWidth="1"/>
    <col min="5643" max="5643" width="11.140625" style="149" customWidth="1"/>
    <col min="5644" max="5892" width="9.140625" style="149"/>
    <col min="5893" max="5893" width="20" style="149" customWidth="1"/>
    <col min="5894" max="5894" width="11.5703125" style="149" bestFit="1" customWidth="1"/>
    <col min="5895" max="5895" width="36.140625" style="149" customWidth="1"/>
    <col min="5896" max="5896" width="13.42578125" style="149" customWidth="1"/>
    <col min="5897" max="5897" width="16.7109375" style="149" customWidth="1"/>
    <col min="5898" max="5898" width="14.140625" style="149" customWidth="1"/>
    <col min="5899" max="5899" width="11.140625" style="149" customWidth="1"/>
    <col min="5900" max="6148" width="9.140625" style="149"/>
    <col min="6149" max="6149" width="20" style="149" customWidth="1"/>
    <col min="6150" max="6150" width="11.5703125" style="149" bestFit="1" customWidth="1"/>
    <col min="6151" max="6151" width="36.140625" style="149" customWidth="1"/>
    <col min="6152" max="6152" width="13.42578125" style="149" customWidth="1"/>
    <col min="6153" max="6153" width="16.7109375" style="149" customWidth="1"/>
    <col min="6154" max="6154" width="14.140625" style="149" customWidth="1"/>
    <col min="6155" max="6155" width="11.140625" style="149" customWidth="1"/>
    <col min="6156" max="6404" width="9.140625" style="149"/>
    <col min="6405" max="6405" width="20" style="149" customWidth="1"/>
    <col min="6406" max="6406" width="11.5703125" style="149" bestFit="1" customWidth="1"/>
    <col min="6407" max="6407" width="36.140625" style="149" customWidth="1"/>
    <col min="6408" max="6408" width="13.42578125" style="149" customWidth="1"/>
    <col min="6409" max="6409" width="16.7109375" style="149" customWidth="1"/>
    <col min="6410" max="6410" width="14.140625" style="149" customWidth="1"/>
    <col min="6411" max="6411" width="11.140625" style="149" customWidth="1"/>
    <col min="6412" max="6660" width="9.140625" style="149"/>
    <col min="6661" max="6661" width="20" style="149" customWidth="1"/>
    <col min="6662" max="6662" width="11.5703125" style="149" bestFit="1" customWidth="1"/>
    <col min="6663" max="6663" width="36.140625" style="149" customWidth="1"/>
    <col min="6664" max="6664" width="13.42578125" style="149" customWidth="1"/>
    <col min="6665" max="6665" width="16.7109375" style="149" customWidth="1"/>
    <col min="6666" max="6666" width="14.140625" style="149" customWidth="1"/>
    <col min="6667" max="6667" width="11.140625" style="149" customWidth="1"/>
    <col min="6668" max="6916" width="9.140625" style="149"/>
    <col min="6917" max="6917" width="20" style="149" customWidth="1"/>
    <col min="6918" max="6918" width="11.5703125" style="149" bestFit="1" customWidth="1"/>
    <col min="6919" max="6919" width="36.140625" style="149" customWidth="1"/>
    <col min="6920" max="6920" width="13.42578125" style="149" customWidth="1"/>
    <col min="6921" max="6921" width="16.7109375" style="149" customWidth="1"/>
    <col min="6922" max="6922" width="14.140625" style="149" customWidth="1"/>
    <col min="6923" max="6923" width="11.140625" style="149" customWidth="1"/>
    <col min="6924" max="7172" width="9.140625" style="149"/>
    <col min="7173" max="7173" width="20" style="149" customWidth="1"/>
    <col min="7174" max="7174" width="11.5703125" style="149" bestFit="1" customWidth="1"/>
    <col min="7175" max="7175" width="36.140625" style="149" customWidth="1"/>
    <col min="7176" max="7176" width="13.42578125" style="149" customWidth="1"/>
    <col min="7177" max="7177" width="16.7109375" style="149" customWidth="1"/>
    <col min="7178" max="7178" width="14.140625" style="149" customWidth="1"/>
    <col min="7179" max="7179" width="11.140625" style="149" customWidth="1"/>
    <col min="7180" max="7428" width="9.140625" style="149"/>
    <col min="7429" max="7429" width="20" style="149" customWidth="1"/>
    <col min="7430" max="7430" width="11.5703125" style="149" bestFit="1" customWidth="1"/>
    <col min="7431" max="7431" width="36.140625" style="149" customWidth="1"/>
    <col min="7432" max="7432" width="13.42578125" style="149" customWidth="1"/>
    <col min="7433" max="7433" width="16.7109375" style="149" customWidth="1"/>
    <col min="7434" max="7434" width="14.140625" style="149" customWidth="1"/>
    <col min="7435" max="7435" width="11.140625" style="149" customWidth="1"/>
    <col min="7436" max="7684" width="9.140625" style="149"/>
    <col min="7685" max="7685" width="20" style="149" customWidth="1"/>
    <col min="7686" max="7686" width="11.5703125" style="149" bestFit="1" customWidth="1"/>
    <col min="7687" max="7687" width="36.140625" style="149" customWidth="1"/>
    <col min="7688" max="7688" width="13.42578125" style="149" customWidth="1"/>
    <col min="7689" max="7689" width="16.7109375" style="149" customWidth="1"/>
    <col min="7690" max="7690" width="14.140625" style="149" customWidth="1"/>
    <col min="7691" max="7691" width="11.140625" style="149" customWidth="1"/>
    <col min="7692" max="7940" width="9.140625" style="149"/>
    <col min="7941" max="7941" width="20" style="149" customWidth="1"/>
    <col min="7942" max="7942" width="11.5703125" style="149" bestFit="1" customWidth="1"/>
    <col min="7943" max="7943" width="36.140625" style="149" customWidth="1"/>
    <col min="7944" max="7944" width="13.42578125" style="149" customWidth="1"/>
    <col min="7945" max="7945" width="16.7109375" style="149" customWidth="1"/>
    <col min="7946" max="7946" width="14.140625" style="149" customWidth="1"/>
    <col min="7947" max="7947" width="11.140625" style="149" customWidth="1"/>
    <col min="7948" max="8196" width="9.140625" style="149"/>
    <col min="8197" max="8197" width="20" style="149" customWidth="1"/>
    <col min="8198" max="8198" width="11.5703125" style="149" bestFit="1" customWidth="1"/>
    <col min="8199" max="8199" width="36.140625" style="149" customWidth="1"/>
    <col min="8200" max="8200" width="13.42578125" style="149" customWidth="1"/>
    <col min="8201" max="8201" width="16.7109375" style="149" customWidth="1"/>
    <col min="8202" max="8202" width="14.140625" style="149" customWidth="1"/>
    <col min="8203" max="8203" width="11.140625" style="149" customWidth="1"/>
    <col min="8204" max="8452" width="9.140625" style="149"/>
    <col min="8453" max="8453" width="20" style="149" customWidth="1"/>
    <col min="8454" max="8454" width="11.5703125" style="149" bestFit="1" customWidth="1"/>
    <col min="8455" max="8455" width="36.140625" style="149" customWidth="1"/>
    <col min="8456" max="8456" width="13.42578125" style="149" customWidth="1"/>
    <col min="8457" max="8457" width="16.7109375" style="149" customWidth="1"/>
    <col min="8458" max="8458" width="14.140625" style="149" customWidth="1"/>
    <col min="8459" max="8459" width="11.140625" style="149" customWidth="1"/>
    <col min="8460" max="8708" width="9.140625" style="149"/>
    <col min="8709" max="8709" width="20" style="149" customWidth="1"/>
    <col min="8710" max="8710" width="11.5703125" style="149" bestFit="1" customWidth="1"/>
    <col min="8711" max="8711" width="36.140625" style="149" customWidth="1"/>
    <col min="8712" max="8712" width="13.42578125" style="149" customWidth="1"/>
    <col min="8713" max="8713" width="16.7109375" style="149" customWidth="1"/>
    <col min="8714" max="8714" width="14.140625" style="149" customWidth="1"/>
    <col min="8715" max="8715" width="11.140625" style="149" customWidth="1"/>
    <col min="8716" max="8964" width="9.140625" style="149"/>
    <col min="8965" max="8965" width="20" style="149" customWidth="1"/>
    <col min="8966" max="8966" width="11.5703125" style="149" bestFit="1" customWidth="1"/>
    <col min="8967" max="8967" width="36.140625" style="149" customWidth="1"/>
    <col min="8968" max="8968" width="13.42578125" style="149" customWidth="1"/>
    <col min="8969" max="8969" width="16.7109375" style="149" customWidth="1"/>
    <col min="8970" max="8970" width="14.140625" style="149" customWidth="1"/>
    <col min="8971" max="8971" width="11.140625" style="149" customWidth="1"/>
    <col min="8972" max="9220" width="9.140625" style="149"/>
    <col min="9221" max="9221" width="20" style="149" customWidth="1"/>
    <col min="9222" max="9222" width="11.5703125" style="149" bestFit="1" customWidth="1"/>
    <col min="9223" max="9223" width="36.140625" style="149" customWidth="1"/>
    <col min="9224" max="9224" width="13.42578125" style="149" customWidth="1"/>
    <col min="9225" max="9225" width="16.7109375" style="149" customWidth="1"/>
    <col min="9226" max="9226" width="14.140625" style="149" customWidth="1"/>
    <col min="9227" max="9227" width="11.140625" style="149" customWidth="1"/>
    <col min="9228" max="9476" width="9.140625" style="149"/>
    <col min="9477" max="9477" width="20" style="149" customWidth="1"/>
    <col min="9478" max="9478" width="11.5703125" style="149" bestFit="1" customWidth="1"/>
    <col min="9479" max="9479" width="36.140625" style="149" customWidth="1"/>
    <col min="9480" max="9480" width="13.42578125" style="149" customWidth="1"/>
    <col min="9481" max="9481" width="16.7109375" style="149" customWidth="1"/>
    <col min="9482" max="9482" width="14.140625" style="149" customWidth="1"/>
    <col min="9483" max="9483" width="11.140625" style="149" customWidth="1"/>
    <col min="9484" max="9732" width="9.140625" style="149"/>
    <col min="9733" max="9733" width="20" style="149" customWidth="1"/>
    <col min="9734" max="9734" width="11.5703125" style="149" bestFit="1" customWidth="1"/>
    <col min="9735" max="9735" width="36.140625" style="149" customWidth="1"/>
    <col min="9736" max="9736" width="13.42578125" style="149" customWidth="1"/>
    <col min="9737" max="9737" width="16.7109375" style="149" customWidth="1"/>
    <col min="9738" max="9738" width="14.140625" style="149" customWidth="1"/>
    <col min="9739" max="9739" width="11.140625" style="149" customWidth="1"/>
    <col min="9740" max="9988" width="9.140625" style="149"/>
    <col min="9989" max="9989" width="20" style="149" customWidth="1"/>
    <col min="9990" max="9990" width="11.5703125" style="149" bestFit="1" customWidth="1"/>
    <col min="9991" max="9991" width="36.140625" style="149" customWidth="1"/>
    <col min="9992" max="9992" width="13.42578125" style="149" customWidth="1"/>
    <col min="9993" max="9993" width="16.7109375" style="149" customWidth="1"/>
    <col min="9994" max="9994" width="14.140625" style="149" customWidth="1"/>
    <col min="9995" max="9995" width="11.140625" style="149" customWidth="1"/>
    <col min="9996" max="10244" width="9.140625" style="149"/>
    <col min="10245" max="10245" width="20" style="149" customWidth="1"/>
    <col min="10246" max="10246" width="11.5703125" style="149" bestFit="1" customWidth="1"/>
    <col min="10247" max="10247" width="36.140625" style="149" customWidth="1"/>
    <col min="10248" max="10248" width="13.42578125" style="149" customWidth="1"/>
    <col min="10249" max="10249" width="16.7109375" style="149" customWidth="1"/>
    <col min="10250" max="10250" width="14.140625" style="149" customWidth="1"/>
    <col min="10251" max="10251" width="11.140625" style="149" customWidth="1"/>
    <col min="10252" max="10500" width="9.140625" style="149"/>
    <col min="10501" max="10501" width="20" style="149" customWidth="1"/>
    <col min="10502" max="10502" width="11.5703125" style="149" bestFit="1" customWidth="1"/>
    <col min="10503" max="10503" width="36.140625" style="149" customWidth="1"/>
    <col min="10504" max="10504" width="13.42578125" style="149" customWidth="1"/>
    <col min="10505" max="10505" width="16.7109375" style="149" customWidth="1"/>
    <col min="10506" max="10506" width="14.140625" style="149" customWidth="1"/>
    <col min="10507" max="10507" width="11.140625" style="149" customWidth="1"/>
    <col min="10508" max="10756" width="9.140625" style="149"/>
    <col min="10757" max="10757" width="20" style="149" customWidth="1"/>
    <col min="10758" max="10758" width="11.5703125" style="149" bestFit="1" customWidth="1"/>
    <col min="10759" max="10759" width="36.140625" style="149" customWidth="1"/>
    <col min="10760" max="10760" width="13.42578125" style="149" customWidth="1"/>
    <col min="10761" max="10761" width="16.7109375" style="149" customWidth="1"/>
    <col min="10762" max="10762" width="14.140625" style="149" customWidth="1"/>
    <col min="10763" max="10763" width="11.140625" style="149" customWidth="1"/>
    <col min="10764" max="11012" width="9.140625" style="149"/>
    <col min="11013" max="11013" width="20" style="149" customWidth="1"/>
    <col min="11014" max="11014" width="11.5703125" style="149" bestFit="1" customWidth="1"/>
    <col min="11015" max="11015" width="36.140625" style="149" customWidth="1"/>
    <col min="11016" max="11016" width="13.42578125" style="149" customWidth="1"/>
    <col min="11017" max="11017" width="16.7109375" style="149" customWidth="1"/>
    <col min="11018" max="11018" width="14.140625" style="149" customWidth="1"/>
    <col min="11019" max="11019" width="11.140625" style="149" customWidth="1"/>
    <col min="11020" max="11268" width="9.140625" style="149"/>
    <col min="11269" max="11269" width="20" style="149" customWidth="1"/>
    <col min="11270" max="11270" width="11.5703125" style="149" bestFit="1" customWidth="1"/>
    <col min="11271" max="11271" width="36.140625" style="149" customWidth="1"/>
    <col min="11272" max="11272" width="13.42578125" style="149" customWidth="1"/>
    <col min="11273" max="11273" width="16.7109375" style="149" customWidth="1"/>
    <col min="11274" max="11274" width="14.140625" style="149" customWidth="1"/>
    <col min="11275" max="11275" width="11.140625" style="149" customWidth="1"/>
    <col min="11276" max="11524" width="9.140625" style="149"/>
    <col min="11525" max="11525" width="20" style="149" customWidth="1"/>
    <col min="11526" max="11526" width="11.5703125" style="149" bestFit="1" customWidth="1"/>
    <col min="11527" max="11527" width="36.140625" style="149" customWidth="1"/>
    <col min="11528" max="11528" width="13.42578125" style="149" customWidth="1"/>
    <col min="11529" max="11529" width="16.7109375" style="149" customWidth="1"/>
    <col min="11530" max="11530" width="14.140625" style="149" customWidth="1"/>
    <col min="11531" max="11531" width="11.140625" style="149" customWidth="1"/>
    <col min="11532" max="11780" width="9.140625" style="149"/>
    <col min="11781" max="11781" width="20" style="149" customWidth="1"/>
    <col min="11782" max="11782" width="11.5703125" style="149" bestFit="1" customWidth="1"/>
    <col min="11783" max="11783" width="36.140625" style="149" customWidth="1"/>
    <col min="11784" max="11784" width="13.42578125" style="149" customWidth="1"/>
    <col min="11785" max="11785" width="16.7109375" style="149" customWidth="1"/>
    <col min="11786" max="11786" width="14.140625" style="149" customWidth="1"/>
    <col min="11787" max="11787" width="11.140625" style="149" customWidth="1"/>
    <col min="11788" max="12036" width="9.140625" style="149"/>
    <col min="12037" max="12037" width="20" style="149" customWidth="1"/>
    <col min="12038" max="12038" width="11.5703125" style="149" bestFit="1" customWidth="1"/>
    <col min="12039" max="12039" width="36.140625" style="149" customWidth="1"/>
    <col min="12040" max="12040" width="13.42578125" style="149" customWidth="1"/>
    <col min="12041" max="12041" width="16.7109375" style="149" customWidth="1"/>
    <col min="12042" max="12042" width="14.140625" style="149" customWidth="1"/>
    <col min="12043" max="12043" width="11.140625" style="149" customWidth="1"/>
    <col min="12044" max="12292" width="9.140625" style="149"/>
    <col min="12293" max="12293" width="20" style="149" customWidth="1"/>
    <col min="12294" max="12294" width="11.5703125" style="149" bestFit="1" customWidth="1"/>
    <col min="12295" max="12295" width="36.140625" style="149" customWidth="1"/>
    <col min="12296" max="12296" width="13.42578125" style="149" customWidth="1"/>
    <col min="12297" max="12297" width="16.7109375" style="149" customWidth="1"/>
    <col min="12298" max="12298" width="14.140625" style="149" customWidth="1"/>
    <col min="12299" max="12299" width="11.140625" style="149" customWidth="1"/>
    <col min="12300" max="12548" width="9.140625" style="149"/>
    <col min="12549" max="12549" width="20" style="149" customWidth="1"/>
    <col min="12550" max="12550" width="11.5703125" style="149" bestFit="1" customWidth="1"/>
    <col min="12551" max="12551" width="36.140625" style="149" customWidth="1"/>
    <col min="12552" max="12552" width="13.42578125" style="149" customWidth="1"/>
    <col min="12553" max="12553" width="16.7109375" style="149" customWidth="1"/>
    <col min="12554" max="12554" width="14.140625" style="149" customWidth="1"/>
    <col min="12555" max="12555" width="11.140625" style="149" customWidth="1"/>
    <col min="12556" max="12804" width="9.140625" style="149"/>
    <col min="12805" max="12805" width="20" style="149" customWidth="1"/>
    <col min="12806" max="12806" width="11.5703125" style="149" bestFit="1" customWidth="1"/>
    <col min="12807" max="12807" width="36.140625" style="149" customWidth="1"/>
    <col min="12808" max="12808" width="13.42578125" style="149" customWidth="1"/>
    <col min="12809" max="12809" width="16.7109375" style="149" customWidth="1"/>
    <col min="12810" max="12810" width="14.140625" style="149" customWidth="1"/>
    <col min="12811" max="12811" width="11.140625" style="149" customWidth="1"/>
    <col min="12812" max="13060" width="9.140625" style="149"/>
    <col min="13061" max="13061" width="20" style="149" customWidth="1"/>
    <col min="13062" max="13062" width="11.5703125" style="149" bestFit="1" customWidth="1"/>
    <col min="13063" max="13063" width="36.140625" style="149" customWidth="1"/>
    <col min="13064" max="13064" width="13.42578125" style="149" customWidth="1"/>
    <col min="13065" max="13065" width="16.7109375" style="149" customWidth="1"/>
    <col min="13066" max="13066" width="14.140625" style="149" customWidth="1"/>
    <col min="13067" max="13067" width="11.140625" style="149" customWidth="1"/>
    <col min="13068" max="13316" width="9.140625" style="149"/>
    <col min="13317" max="13317" width="20" style="149" customWidth="1"/>
    <col min="13318" max="13318" width="11.5703125" style="149" bestFit="1" customWidth="1"/>
    <col min="13319" max="13319" width="36.140625" style="149" customWidth="1"/>
    <col min="13320" max="13320" width="13.42578125" style="149" customWidth="1"/>
    <col min="13321" max="13321" width="16.7109375" style="149" customWidth="1"/>
    <col min="13322" max="13322" width="14.140625" style="149" customWidth="1"/>
    <col min="13323" max="13323" width="11.140625" style="149" customWidth="1"/>
    <col min="13324" max="13572" width="9.140625" style="149"/>
    <col min="13573" max="13573" width="20" style="149" customWidth="1"/>
    <col min="13574" max="13574" width="11.5703125" style="149" bestFit="1" customWidth="1"/>
    <col min="13575" max="13575" width="36.140625" style="149" customWidth="1"/>
    <col min="13576" max="13576" width="13.42578125" style="149" customWidth="1"/>
    <col min="13577" max="13577" width="16.7109375" style="149" customWidth="1"/>
    <col min="13578" max="13578" width="14.140625" style="149" customWidth="1"/>
    <col min="13579" max="13579" width="11.140625" style="149" customWidth="1"/>
    <col min="13580" max="13828" width="9.140625" style="149"/>
    <col min="13829" max="13829" width="20" style="149" customWidth="1"/>
    <col min="13830" max="13830" width="11.5703125" style="149" bestFit="1" customWidth="1"/>
    <col min="13831" max="13831" width="36.140625" style="149" customWidth="1"/>
    <col min="13832" max="13832" width="13.42578125" style="149" customWidth="1"/>
    <col min="13833" max="13833" width="16.7109375" style="149" customWidth="1"/>
    <col min="13834" max="13834" width="14.140625" style="149" customWidth="1"/>
    <col min="13835" max="13835" width="11.140625" style="149" customWidth="1"/>
    <col min="13836" max="14084" width="9.140625" style="149"/>
    <col min="14085" max="14085" width="20" style="149" customWidth="1"/>
    <col min="14086" max="14086" width="11.5703125" style="149" bestFit="1" customWidth="1"/>
    <col min="14087" max="14087" width="36.140625" style="149" customWidth="1"/>
    <col min="14088" max="14088" width="13.42578125" style="149" customWidth="1"/>
    <col min="14089" max="14089" width="16.7109375" style="149" customWidth="1"/>
    <col min="14090" max="14090" width="14.140625" style="149" customWidth="1"/>
    <col min="14091" max="14091" width="11.140625" style="149" customWidth="1"/>
    <col min="14092" max="14340" width="9.140625" style="149"/>
    <col min="14341" max="14341" width="20" style="149" customWidth="1"/>
    <col min="14342" max="14342" width="11.5703125" style="149" bestFit="1" customWidth="1"/>
    <col min="14343" max="14343" width="36.140625" style="149" customWidth="1"/>
    <col min="14344" max="14344" width="13.42578125" style="149" customWidth="1"/>
    <col min="14345" max="14345" width="16.7109375" style="149" customWidth="1"/>
    <col min="14346" max="14346" width="14.140625" style="149" customWidth="1"/>
    <col min="14347" max="14347" width="11.140625" style="149" customWidth="1"/>
    <col min="14348" max="14596" width="9.140625" style="149"/>
    <col min="14597" max="14597" width="20" style="149" customWidth="1"/>
    <col min="14598" max="14598" width="11.5703125" style="149" bestFit="1" customWidth="1"/>
    <col min="14599" max="14599" width="36.140625" style="149" customWidth="1"/>
    <col min="14600" max="14600" width="13.42578125" style="149" customWidth="1"/>
    <col min="14601" max="14601" width="16.7109375" style="149" customWidth="1"/>
    <col min="14602" max="14602" width="14.140625" style="149" customWidth="1"/>
    <col min="14603" max="14603" width="11.140625" style="149" customWidth="1"/>
    <col min="14604" max="14852" width="9.140625" style="149"/>
    <col min="14853" max="14853" width="20" style="149" customWidth="1"/>
    <col min="14854" max="14854" width="11.5703125" style="149" bestFit="1" customWidth="1"/>
    <col min="14855" max="14855" width="36.140625" style="149" customWidth="1"/>
    <col min="14856" max="14856" width="13.42578125" style="149" customWidth="1"/>
    <col min="14857" max="14857" width="16.7109375" style="149" customWidth="1"/>
    <col min="14858" max="14858" width="14.140625" style="149" customWidth="1"/>
    <col min="14859" max="14859" width="11.140625" style="149" customWidth="1"/>
    <col min="14860" max="15108" width="9.140625" style="149"/>
    <col min="15109" max="15109" width="20" style="149" customWidth="1"/>
    <col min="15110" max="15110" width="11.5703125" style="149" bestFit="1" customWidth="1"/>
    <col min="15111" max="15111" width="36.140625" style="149" customWidth="1"/>
    <col min="15112" max="15112" width="13.42578125" style="149" customWidth="1"/>
    <col min="15113" max="15113" width="16.7109375" style="149" customWidth="1"/>
    <col min="15114" max="15114" width="14.140625" style="149" customWidth="1"/>
    <col min="15115" max="15115" width="11.140625" style="149" customWidth="1"/>
    <col min="15116" max="15364" width="9.140625" style="149"/>
    <col min="15365" max="15365" width="20" style="149" customWidth="1"/>
    <col min="15366" max="15366" width="11.5703125" style="149" bestFit="1" customWidth="1"/>
    <col min="15367" max="15367" width="36.140625" style="149" customWidth="1"/>
    <col min="15368" max="15368" width="13.42578125" style="149" customWidth="1"/>
    <col min="15369" max="15369" width="16.7109375" style="149" customWidth="1"/>
    <col min="15370" max="15370" width="14.140625" style="149" customWidth="1"/>
    <col min="15371" max="15371" width="11.140625" style="149" customWidth="1"/>
    <col min="15372" max="15620" width="9.140625" style="149"/>
    <col min="15621" max="15621" width="20" style="149" customWidth="1"/>
    <col min="15622" max="15622" width="11.5703125" style="149" bestFit="1" customWidth="1"/>
    <col min="15623" max="15623" width="36.140625" style="149" customWidth="1"/>
    <col min="15624" max="15624" width="13.42578125" style="149" customWidth="1"/>
    <col min="15625" max="15625" width="16.7109375" style="149" customWidth="1"/>
    <col min="15626" max="15626" width="14.140625" style="149" customWidth="1"/>
    <col min="15627" max="15627" width="11.140625" style="149" customWidth="1"/>
    <col min="15628" max="15876" width="9.140625" style="149"/>
    <col min="15877" max="15877" width="20" style="149" customWidth="1"/>
    <col min="15878" max="15878" width="11.5703125" style="149" bestFit="1" customWidth="1"/>
    <col min="15879" max="15879" width="36.140625" style="149" customWidth="1"/>
    <col min="15880" max="15880" width="13.42578125" style="149" customWidth="1"/>
    <col min="15881" max="15881" width="16.7109375" style="149" customWidth="1"/>
    <col min="15882" max="15882" width="14.140625" style="149" customWidth="1"/>
    <col min="15883" max="15883" width="11.140625" style="149" customWidth="1"/>
    <col min="15884" max="16132" width="9.140625" style="149"/>
    <col min="16133" max="16133" width="20" style="149" customWidth="1"/>
    <col min="16134" max="16134" width="11.5703125" style="149" bestFit="1" customWidth="1"/>
    <col min="16135" max="16135" width="36.140625" style="149" customWidth="1"/>
    <col min="16136" max="16136" width="13.42578125" style="149" customWidth="1"/>
    <col min="16137" max="16137" width="16.7109375" style="149" customWidth="1"/>
    <col min="16138" max="16138" width="14.140625" style="149" customWidth="1"/>
    <col min="16139" max="16139" width="11.140625" style="149" customWidth="1"/>
    <col min="16140" max="16384" width="9.140625" style="149"/>
  </cols>
  <sheetData>
    <row r="1" spans="1:9" x14ac:dyDescent="0.2">
      <c r="A1" s="148" t="s">
        <v>229</v>
      </c>
      <c r="B1" s="148"/>
    </row>
    <row r="3" spans="1:9" x14ac:dyDescent="0.2">
      <c r="A3" s="149" t="s">
        <v>230</v>
      </c>
    </row>
    <row r="4" spans="1:9" x14ac:dyDescent="0.2">
      <c r="A4" s="149" t="s">
        <v>231</v>
      </c>
    </row>
    <row r="6" spans="1:9" x14ac:dyDescent="0.2">
      <c r="A6" s="151" t="s">
        <v>114</v>
      </c>
      <c r="B6" s="177">
        <v>2013</v>
      </c>
      <c r="C6" s="177">
        <v>2012</v>
      </c>
      <c r="D6" s="177" t="s">
        <v>290</v>
      </c>
      <c r="F6" s="151" t="s">
        <v>232</v>
      </c>
      <c r="G6" s="177">
        <v>2013</v>
      </c>
      <c r="H6" s="177">
        <v>2012</v>
      </c>
      <c r="I6" s="177" t="s">
        <v>290</v>
      </c>
    </row>
    <row r="7" spans="1:9" x14ac:dyDescent="0.2">
      <c r="A7" s="151"/>
      <c r="B7" s="150"/>
      <c r="C7" s="150"/>
      <c r="D7" s="150"/>
      <c r="F7" s="151"/>
      <c r="G7" s="150"/>
      <c r="H7" s="155"/>
      <c r="I7" s="150"/>
    </row>
    <row r="8" spans="1:9" x14ac:dyDescent="0.2">
      <c r="A8" s="156" t="s">
        <v>116</v>
      </c>
      <c r="B8" s="152"/>
      <c r="C8" s="152"/>
      <c r="D8" s="152"/>
      <c r="F8" s="156" t="s">
        <v>117</v>
      </c>
      <c r="G8" s="152"/>
      <c r="H8" s="178"/>
      <c r="I8" s="152"/>
    </row>
    <row r="9" spans="1:9" x14ac:dyDescent="0.2">
      <c r="A9" s="154" t="s">
        <v>233</v>
      </c>
      <c r="B9" s="153">
        <f>C9-Lançamentos!B8-Lançamentos!B17+Lançamentos!B41-Lançamentos!B47-Lançamentos!B50+Lançamentos!B59+Lançamentos!B78+Lançamentos!B84-Lançamentos!B88-Lançamentos!B91</f>
        <v>372700</v>
      </c>
      <c r="C9" s="153">
        <v>17000</v>
      </c>
      <c r="D9" s="153">
        <f>B9-C9</f>
        <v>355700</v>
      </c>
      <c r="F9" s="154" t="s">
        <v>161</v>
      </c>
      <c r="G9" s="153">
        <v>0</v>
      </c>
      <c r="H9" s="153">
        <v>700</v>
      </c>
      <c r="I9" s="153">
        <f>G9-H9</f>
        <v>-700</v>
      </c>
    </row>
    <row r="10" spans="1:9" x14ac:dyDescent="0.2">
      <c r="A10" s="154" t="s">
        <v>118</v>
      </c>
      <c r="B10" s="153">
        <f>C10+Lançamentos!B6-Lançamentos!B35</f>
        <v>300.06635223321882</v>
      </c>
      <c r="C10" s="153">
        <f>C37</f>
        <v>3000</v>
      </c>
      <c r="D10" s="153">
        <f t="shared" ref="D10:D24" si="0">B10-C10</f>
        <v>-2699.9336477667812</v>
      </c>
      <c r="F10" s="154" t="s">
        <v>160</v>
      </c>
      <c r="G10" s="153">
        <f>H10-Lançamentos!B87</f>
        <v>4900</v>
      </c>
      <c r="H10" s="153">
        <v>7000</v>
      </c>
      <c r="I10" s="153">
        <f t="shared" ref="I10:I24" si="1">G10-H10</f>
        <v>-2100</v>
      </c>
    </row>
    <row r="11" spans="1:9" x14ac:dyDescent="0.2">
      <c r="A11" s="154" t="s">
        <v>79</v>
      </c>
      <c r="B11" s="153">
        <f>C11-Lançamentos!B85</f>
        <v>1200</v>
      </c>
      <c r="C11" s="153">
        <v>4000</v>
      </c>
      <c r="D11" s="153">
        <f t="shared" si="0"/>
        <v>-2800</v>
      </c>
      <c r="F11" s="154" t="s">
        <v>181</v>
      </c>
      <c r="G11" s="153">
        <f>Lançamentos!B118</f>
        <v>6554.7665880583045</v>
      </c>
      <c r="H11" s="153"/>
      <c r="I11" s="153">
        <f t="shared" si="1"/>
        <v>6554.7665880583045</v>
      </c>
    </row>
    <row r="12" spans="1:9" x14ac:dyDescent="0.2">
      <c r="A12" s="180" t="s">
        <v>287</v>
      </c>
      <c r="B12" s="179"/>
      <c r="C12" s="155"/>
      <c r="D12" s="153">
        <f>B12-C12</f>
        <v>0</v>
      </c>
      <c r="F12" s="154" t="s">
        <v>180</v>
      </c>
      <c r="G12" s="179">
        <f>Lançamentos!B121</f>
        <v>2359.7159717009895</v>
      </c>
      <c r="H12" s="178"/>
      <c r="I12" s="153">
        <f t="shared" si="1"/>
        <v>2359.7159717009895</v>
      </c>
    </row>
    <row r="13" spans="1:9" x14ac:dyDescent="0.2">
      <c r="A13" s="154" t="s">
        <v>288</v>
      </c>
      <c r="B13" s="181">
        <f>Lançamentos!B46+Lançamentos!B53-Lançamentos!B60</f>
        <v>900</v>
      </c>
      <c r="C13" s="188">
        <v>0</v>
      </c>
      <c r="D13" s="153">
        <f>B13-C13</f>
        <v>900</v>
      </c>
      <c r="F13" s="154" t="s">
        <v>119</v>
      </c>
      <c r="G13" s="179">
        <f>Lançamentos!B135</f>
        <v>9863.6127617101356</v>
      </c>
      <c r="H13" s="178"/>
      <c r="I13" s="153">
        <f t="shared" si="1"/>
        <v>9863.6127617101356</v>
      </c>
    </row>
    <row r="14" spans="1:9" x14ac:dyDescent="0.2">
      <c r="A14" s="154" t="s">
        <v>289</v>
      </c>
      <c r="B14" s="153">
        <f>Lançamentos!B49+Lançamentos!B56</f>
        <v>10000</v>
      </c>
      <c r="C14" s="188">
        <v>0</v>
      </c>
      <c r="D14" s="153">
        <f>B14-C14</f>
        <v>10000</v>
      </c>
      <c r="F14" s="154" t="s">
        <v>81</v>
      </c>
      <c r="G14" s="179">
        <f>Lançamentos!B31-Lançamentos!B7</f>
        <v>6681.0000000000009</v>
      </c>
      <c r="H14" s="178"/>
      <c r="I14" s="153">
        <f t="shared" si="1"/>
        <v>6681.0000000000009</v>
      </c>
    </row>
    <row r="15" spans="1:9" x14ac:dyDescent="0.2">
      <c r="A15" s="154" t="s">
        <v>282</v>
      </c>
      <c r="B15" s="179">
        <f>Lançamentos!B70</f>
        <v>2000</v>
      </c>
      <c r="C15" s="189">
        <v>0</v>
      </c>
      <c r="D15" s="153">
        <f>B15-C15</f>
        <v>2000</v>
      </c>
      <c r="F15" s="161"/>
      <c r="G15" s="155"/>
      <c r="H15" s="178"/>
      <c r="I15" s="153"/>
    </row>
    <row r="16" spans="1:9" x14ac:dyDescent="0.2">
      <c r="A16" s="161"/>
      <c r="B16" s="161"/>
      <c r="C16" s="161"/>
      <c r="D16" s="161"/>
      <c r="F16" s="156"/>
      <c r="G16" s="155"/>
      <c r="H16" s="178"/>
      <c r="I16" s="153"/>
    </row>
    <row r="17" spans="1:10" x14ac:dyDescent="0.2">
      <c r="A17" s="156" t="s">
        <v>120</v>
      </c>
      <c r="B17" s="161"/>
      <c r="C17" s="161"/>
      <c r="D17" s="153"/>
      <c r="F17" s="156" t="s">
        <v>121</v>
      </c>
      <c r="G17" s="150"/>
      <c r="H17" s="155"/>
      <c r="I17" s="153"/>
    </row>
    <row r="18" spans="1:10" x14ac:dyDescent="0.2">
      <c r="A18" s="161"/>
      <c r="B18" s="161"/>
      <c r="C18" s="161"/>
      <c r="D18" s="161"/>
      <c r="F18" s="154"/>
      <c r="G18" s="153"/>
      <c r="H18" s="162"/>
      <c r="I18" s="153"/>
    </row>
    <row r="19" spans="1:10" x14ac:dyDescent="0.2">
      <c r="A19" s="161"/>
      <c r="B19" s="161"/>
      <c r="C19" s="161"/>
      <c r="D19" s="161"/>
      <c r="F19" s="154" t="s">
        <v>82</v>
      </c>
      <c r="G19" s="158">
        <f>H19+Lançamentos!B79</f>
        <v>300000</v>
      </c>
      <c r="H19" s="171">
        <v>50000</v>
      </c>
      <c r="I19" s="153">
        <f t="shared" si="1"/>
        <v>250000</v>
      </c>
    </row>
    <row r="20" spans="1:10" x14ac:dyDescent="0.2">
      <c r="A20" s="180" t="s">
        <v>68</v>
      </c>
      <c r="B20" s="150"/>
      <c r="C20" s="150"/>
      <c r="D20" s="153">
        <f t="shared" si="0"/>
        <v>0</v>
      </c>
      <c r="F20" s="154" t="s">
        <v>284</v>
      </c>
      <c r="G20" s="161"/>
      <c r="H20" s="161"/>
      <c r="I20" s="161"/>
    </row>
    <row r="21" spans="1:10" x14ac:dyDescent="0.2">
      <c r="A21" s="154" t="s">
        <v>234</v>
      </c>
      <c r="B21" s="153">
        <v>20000</v>
      </c>
      <c r="C21" s="153">
        <v>20000</v>
      </c>
      <c r="D21" s="153">
        <f t="shared" si="0"/>
        <v>0</v>
      </c>
      <c r="F21" s="160" t="s">
        <v>285</v>
      </c>
      <c r="G21" s="159">
        <f>Lançamentos!B80</f>
        <v>75000</v>
      </c>
      <c r="H21" s="161"/>
      <c r="I21" s="153">
        <f>G21-H21</f>
        <v>75000</v>
      </c>
    </row>
    <row r="22" spans="1:10" x14ac:dyDescent="0.2">
      <c r="A22" s="157" t="s">
        <v>235</v>
      </c>
      <c r="B22" s="158">
        <v>0</v>
      </c>
      <c r="C22" s="158">
        <f>B42</f>
        <v>10000</v>
      </c>
      <c r="D22" s="153">
        <f t="shared" si="0"/>
        <v>-10000</v>
      </c>
      <c r="F22" s="154" t="s">
        <v>237</v>
      </c>
      <c r="G22" s="161"/>
      <c r="H22" s="162"/>
      <c r="I22" s="153"/>
    </row>
    <row r="23" spans="1:10" x14ac:dyDescent="0.2">
      <c r="A23" s="154" t="s">
        <v>236</v>
      </c>
      <c r="B23" s="159">
        <v>50000</v>
      </c>
      <c r="C23" s="159">
        <v>50000</v>
      </c>
      <c r="D23" s="153">
        <f t="shared" si="0"/>
        <v>0</v>
      </c>
      <c r="F23" s="160" t="s">
        <v>83</v>
      </c>
      <c r="G23" s="172">
        <f>H23+Lançamentos!B129</f>
        <v>11165.229189623697</v>
      </c>
      <c r="H23" s="153">
        <f>300+10000</f>
        <v>10300</v>
      </c>
      <c r="I23" s="153">
        <f t="shared" si="1"/>
        <v>865.22918962369658</v>
      </c>
    </row>
    <row r="24" spans="1:10" x14ac:dyDescent="0.2">
      <c r="A24" s="154" t="s">
        <v>238</v>
      </c>
      <c r="B24" s="153">
        <f>C24-Lançamentos!B65+Lançamentos!B67-Lançamentos!B95</f>
        <v>-34000</v>
      </c>
      <c r="C24" s="153">
        <f>D44*-1</f>
        <v>-36000</v>
      </c>
      <c r="D24" s="153">
        <f t="shared" si="0"/>
        <v>2000</v>
      </c>
      <c r="F24" s="160" t="s">
        <v>286</v>
      </c>
      <c r="G24" s="172">
        <f>Lançamentos!B141</f>
        <v>6575.7418411400922</v>
      </c>
      <c r="H24" s="153"/>
      <c r="I24" s="153">
        <f t="shared" si="1"/>
        <v>6575.7418411400922</v>
      </c>
    </row>
    <row r="25" spans="1:10" x14ac:dyDescent="0.2">
      <c r="A25" s="151"/>
      <c r="B25" s="162"/>
      <c r="C25" s="162"/>
      <c r="D25" s="162"/>
      <c r="F25" s="160"/>
      <c r="G25" s="162"/>
      <c r="H25" s="153"/>
      <c r="I25" s="162"/>
    </row>
    <row r="26" spans="1:10" x14ac:dyDescent="0.2">
      <c r="A26" s="151" t="s">
        <v>122</v>
      </c>
      <c r="B26" s="171">
        <f>SUM(B9:B24)</f>
        <v>423100.06635223323</v>
      </c>
      <c r="C26" s="171">
        <f>SUM(C9:C24)</f>
        <v>68000</v>
      </c>
      <c r="D26" s="171">
        <f>SUM(D9:D24)</f>
        <v>355100.06635223323</v>
      </c>
      <c r="F26" s="151" t="s">
        <v>239</v>
      </c>
      <c r="G26" s="171">
        <f>SUM(G9:G24)</f>
        <v>423100.06635223317</v>
      </c>
      <c r="H26" s="171">
        <f>SUM(H9:H23)</f>
        <v>68000</v>
      </c>
      <c r="I26" s="171">
        <f>SUM(I9:I24)</f>
        <v>355100.06635223317</v>
      </c>
    </row>
    <row r="27" spans="1:10" x14ac:dyDescent="0.2">
      <c r="I27" s="176"/>
    </row>
    <row r="29" spans="1:10" x14ac:dyDescent="0.2">
      <c r="A29" s="149" t="s">
        <v>240</v>
      </c>
    </row>
    <row r="31" spans="1:10" x14ac:dyDescent="0.2">
      <c r="A31" s="204" t="s">
        <v>241</v>
      </c>
      <c r="B31" s="204"/>
      <c r="C31" s="204"/>
      <c r="D31" s="204"/>
      <c r="E31" s="204"/>
      <c r="F31" s="204"/>
      <c r="G31" s="204"/>
      <c r="H31" s="204"/>
    </row>
    <row r="32" spans="1:10" ht="25.5" x14ac:dyDescent="0.2">
      <c r="A32" s="195" t="s">
        <v>242</v>
      </c>
      <c r="B32" s="195" t="s">
        <v>243</v>
      </c>
      <c r="C32" s="195" t="s">
        <v>244</v>
      </c>
      <c r="D32" s="173"/>
      <c r="E32" s="173"/>
      <c r="F32" s="174"/>
      <c r="G32" s="173"/>
      <c r="I32" s="173"/>
      <c r="J32" s="174"/>
    </row>
    <row r="33" spans="1:10" x14ac:dyDescent="0.2">
      <c r="A33" s="196">
        <f>C33/B33</f>
        <v>10000</v>
      </c>
      <c r="B33" s="197">
        <v>5</v>
      </c>
      <c r="C33" s="197">
        <v>50000</v>
      </c>
      <c r="D33" s="175"/>
      <c r="E33" s="175"/>
      <c r="F33" s="174"/>
      <c r="G33" s="185"/>
      <c r="I33" s="175"/>
      <c r="J33" s="174"/>
    </row>
    <row r="34" spans="1:10" x14ac:dyDescent="0.2">
      <c r="I34" s="174"/>
      <c r="J34" s="174"/>
    </row>
    <row r="35" spans="1:10" x14ac:dyDescent="0.2">
      <c r="A35" s="204" t="s">
        <v>245</v>
      </c>
      <c r="B35" s="204"/>
      <c r="C35" s="204"/>
      <c r="D35" s="204"/>
      <c r="E35" s="204"/>
      <c r="F35" s="204"/>
      <c r="G35" s="204"/>
      <c r="H35" s="204"/>
      <c r="I35" s="174"/>
      <c r="J35" s="174"/>
    </row>
    <row r="36" spans="1:10" ht="25.5" x14ac:dyDescent="0.2">
      <c r="A36" s="195" t="s">
        <v>246</v>
      </c>
      <c r="B36" s="195" t="s">
        <v>247</v>
      </c>
      <c r="C36" s="195" t="s">
        <v>248</v>
      </c>
      <c r="D36" s="173"/>
      <c r="E36" s="173"/>
      <c r="G36" s="173"/>
      <c r="I36" s="173"/>
      <c r="J36" s="174"/>
    </row>
    <row r="37" spans="1:10" x14ac:dyDescent="0.2">
      <c r="A37" s="196">
        <v>200</v>
      </c>
      <c r="B37" s="197">
        <v>15</v>
      </c>
      <c r="C37" s="197">
        <f>B37*A37</f>
        <v>3000</v>
      </c>
      <c r="D37" s="175"/>
      <c r="E37" s="175"/>
      <c r="G37" s="185"/>
      <c r="I37" s="175"/>
      <c r="J37" s="174"/>
    </row>
    <row r="39" spans="1:10" x14ac:dyDescent="0.2">
      <c r="A39" s="205" t="s">
        <v>249</v>
      </c>
      <c r="B39" s="205"/>
      <c r="C39" s="205"/>
      <c r="D39" s="205"/>
      <c r="E39" s="205"/>
      <c r="F39" s="205"/>
      <c r="G39" s="186"/>
    </row>
    <row r="40" spans="1:10" ht="25.5" x14ac:dyDescent="0.2">
      <c r="A40" s="198" t="s">
        <v>250</v>
      </c>
      <c r="B40" s="198" t="s">
        <v>251</v>
      </c>
      <c r="C40" s="198" t="s">
        <v>252</v>
      </c>
      <c r="D40" s="198" t="s">
        <v>253</v>
      </c>
      <c r="E40" s="192"/>
      <c r="F40" s="174"/>
      <c r="G40" s="192"/>
      <c r="H40" s="174"/>
      <c r="I40" s="192"/>
      <c r="J40" s="174"/>
    </row>
    <row r="41" spans="1:10" x14ac:dyDescent="0.2">
      <c r="A41" s="155" t="s">
        <v>234</v>
      </c>
      <c r="B41" s="168">
        <v>20000</v>
      </c>
      <c r="C41" s="169" t="s">
        <v>254</v>
      </c>
      <c r="D41" s="168">
        <f>B41/10*5</f>
        <v>10000</v>
      </c>
      <c r="E41" s="193"/>
      <c r="F41" s="174"/>
      <c r="G41" s="194"/>
      <c r="H41" s="174"/>
      <c r="I41" s="193"/>
      <c r="J41" s="174"/>
    </row>
    <row r="42" spans="1:10" x14ac:dyDescent="0.2">
      <c r="A42" s="155" t="s">
        <v>80</v>
      </c>
      <c r="B42" s="168">
        <v>10000</v>
      </c>
      <c r="C42" s="169" t="s">
        <v>255</v>
      </c>
      <c r="D42" s="168">
        <v>6000</v>
      </c>
      <c r="E42" s="193"/>
      <c r="F42" s="174"/>
      <c r="G42" s="194"/>
      <c r="H42" s="174"/>
      <c r="I42" s="193"/>
      <c r="J42" s="174"/>
    </row>
    <row r="43" spans="1:10" x14ac:dyDescent="0.2">
      <c r="A43" s="155" t="s">
        <v>236</v>
      </c>
      <c r="B43" s="168">
        <v>50000</v>
      </c>
      <c r="C43" s="169" t="s">
        <v>256</v>
      </c>
      <c r="D43" s="168">
        <f>B43/25*10</f>
        <v>20000</v>
      </c>
      <c r="E43" s="193"/>
      <c r="F43" s="174"/>
      <c r="G43" s="194"/>
      <c r="H43" s="174"/>
      <c r="I43" s="193"/>
      <c r="J43" s="174"/>
    </row>
    <row r="44" spans="1:10" x14ac:dyDescent="0.2">
      <c r="A44" s="155" t="s">
        <v>34</v>
      </c>
      <c r="B44" s="168">
        <f>SUM(B41:B43)</f>
        <v>80000</v>
      </c>
      <c r="C44" s="169"/>
      <c r="D44" s="168">
        <f>SUM(D41:D43)</f>
        <v>36000</v>
      </c>
      <c r="E44" s="193"/>
      <c r="F44" s="174"/>
      <c r="G44" s="194"/>
      <c r="H44" s="174"/>
      <c r="I44" s="193"/>
      <c r="J44" s="174"/>
    </row>
    <row r="45" spans="1:10" x14ac:dyDescent="0.2">
      <c r="E45" s="174"/>
      <c r="F45" s="174"/>
      <c r="G45" s="174"/>
      <c r="H45" s="174"/>
      <c r="I45" s="174"/>
      <c r="J45" s="174"/>
    </row>
    <row r="46" spans="1:10" x14ac:dyDescent="0.2">
      <c r="E46" s="174"/>
      <c r="F46" s="174"/>
      <c r="G46" s="174"/>
      <c r="H46" s="174"/>
      <c r="I46" s="174"/>
      <c r="J46" s="174"/>
    </row>
  </sheetData>
  <mergeCells count="3">
    <mergeCell ref="A31:H31"/>
    <mergeCell ref="A35:H35"/>
    <mergeCell ref="A39:F39"/>
  </mergeCells>
  <pageMargins left="0.511811024" right="0.511811024" top="0.78740157499999996" bottom="0.78740157499999996" header="0.31496062000000002" footer="0.31496062000000002"/>
  <pageSetup paperSize="9" scale="8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="160" zoomScaleNormal="160" workbookViewId="0">
      <selection activeCell="D10" sqref="D10"/>
    </sheetView>
  </sheetViews>
  <sheetFormatPr defaultRowHeight="15" x14ac:dyDescent="0.25"/>
  <cols>
    <col min="1" max="1" width="34.28515625" style="10" bestFit="1" customWidth="1"/>
    <col min="2" max="2" width="12.7109375" style="10" customWidth="1"/>
    <col min="3" max="3" width="12.140625" style="10" customWidth="1"/>
    <col min="4" max="4" width="13.7109375" style="64" customWidth="1"/>
    <col min="5" max="5" width="10.42578125" style="10" bestFit="1" customWidth="1"/>
    <col min="6" max="256" width="9.140625" style="10"/>
    <col min="257" max="257" width="34.28515625" style="10" bestFit="1" customWidth="1"/>
    <col min="258" max="258" width="12.7109375" style="10" customWidth="1"/>
    <col min="259" max="259" width="12.140625" style="10" customWidth="1"/>
    <col min="260" max="260" width="13.7109375" style="10" customWidth="1"/>
    <col min="261" max="261" width="10.42578125" style="10" bestFit="1" customWidth="1"/>
    <col min="262" max="512" width="9.140625" style="10"/>
    <col min="513" max="513" width="34.28515625" style="10" bestFit="1" customWidth="1"/>
    <col min="514" max="514" width="12.7109375" style="10" customWidth="1"/>
    <col min="515" max="515" width="12.140625" style="10" customWidth="1"/>
    <col min="516" max="516" width="13.7109375" style="10" customWidth="1"/>
    <col min="517" max="517" width="10.42578125" style="10" bestFit="1" customWidth="1"/>
    <col min="518" max="768" width="9.140625" style="10"/>
    <col min="769" max="769" width="34.28515625" style="10" bestFit="1" customWidth="1"/>
    <col min="770" max="770" width="12.7109375" style="10" customWidth="1"/>
    <col min="771" max="771" width="12.140625" style="10" customWidth="1"/>
    <col min="772" max="772" width="13.7109375" style="10" customWidth="1"/>
    <col min="773" max="773" width="10.42578125" style="10" bestFit="1" customWidth="1"/>
    <col min="774" max="1024" width="9.140625" style="10"/>
    <col min="1025" max="1025" width="34.28515625" style="10" bestFit="1" customWidth="1"/>
    <col min="1026" max="1026" width="12.7109375" style="10" customWidth="1"/>
    <col min="1027" max="1027" width="12.140625" style="10" customWidth="1"/>
    <col min="1028" max="1028" width="13.7109375" style="10" customWidth="1"/>
    <col min="1029" max="1029" width="10.42578125" style="10" bestFit="1" customWidth="1"/>
    <col min="1030" max="1280" width="9.140625" style="10"/>
    <col min="1281" max="1281" width="34.28515625" style="10" bestFit="1" customWidth="1"/>
    <col min="1282" max="1282" width="12.7109375" style="10" customWidth="1"/>
    <col min="1283" max="1283" width="12.140625" style="10" customWidth="1"/>
    <col min="1284" max="1284" width="13.7109375" style="10" customWidth="1"/>
    <col min="1285" max="1285" width="10.42578125" style="10" bestFit="1" customWidth="1"/>
    <col min="1286" max="1536" width="9.140625" style="10"/>
    <col min="1537" max="1537" width="34.28515625" style="10" bestFit="1" customWidth="1"/>
    <col min="1538" max="1538" width="12.7109375" style="10" customWidth="1"/>
    <col min="1539" max="1539" width="12.140625" style="10" customWidth="1"/>
    <col min="1540" max="1540" width="13.7109375" style="10" customWidth="1"/>
    <col min="1541" max="1541" width="10.42578125" style="10" bestFit="1" customWidth="1"/>
    <col min="1542" max="1792" width="9.140625" style="10"/>
    <col min="1793" max="1793" width="34.28515625" style="10" bestFit="1" customWidth="1"/>
    <col min="1794" max="1794" width="12.7109375" style="10" customWidth="1"/>
    <col min="1795" max="1795" width="12.140625" style="10" customWidth="1"/>
    <col min="1796" max="1796" width="13.7109375" style="10" customWidth="1"/>
    <col min="1797" max="1797" width="10.42578125" style="10" bestFit="1" customWidth="1"/>
    <col min="1798" max="2048" width="9.140625" style="10"/>
    <col min="2049" max="2049" width="34.28515625" style="10" bestFit="1" customWidth="1"/>
    <col min="2050" max="2050" width="12.7109375" style="10" customWidth="1"/>
    <col min="2051" max="2051" width="12.140625" style="10" customWidth="1"/>
    <col min="2052" max="2052" width="13.7109375" style="10" customWidth="1"/>
    <col min="2053" max="2053" width="10.42578125" style="10" bestFit="1" customWidth="1"/>
    <col min="2054" max="2304" width="9.140625" style="10"/>
    <col min="2305" max="2305" width="34.28515625" style="10" bestFit="1" customWidth="1"/>
    <col min="2306" max="2306" width="12.7109375" style="10" customWidth="1"/>
    <col min="2307" max="2307" width="12.140625" style="10" customWidth="1"/>
    <col min="2308" max="2308" width="13.7109375" style="10" customWidth="1"/>
    <col min="2309" max="2309" width="10.42578125" style="10" bestFit="1" customWidth="1"/>
    <col min="2310" max="2560" width="9.140625" style="10"/>
    <col min="2561" max="2561" width="34.28515625" style="10" bestFit="1" customWidth="1"/>
    <col min="2562" max="2562" width="12.7109375" style="10" customWidth="1"/>
    <col min="2563" max="2563" width="12.140625" style="10" customWidth="1"/>
    <col min="2564" max="2564" width="13.7109375" style="10" customWidth="1"/>
    <col min="2565" max="2565" width="10.42578125" style="10" bestFit="1" customWidth="1"/>
    <col min="2566" max="2816" width="9.140625" style="10"/>
    <col min="2817" max="2817" width="34.28515625" style="10" bestFit="1" customWidth="1"/>
    <col min="2818" max="2818" width="12.7109375" style="10" customWidth="1"/>
    <col min="2819" max="2819" width="12.140625" style="10" customWidth="1"/>
    <col min="2820" max="2820" width="13.7109375" style="10" customWidth="1"/>
    <col min="2821" max="2821" width="10.42578125" style="10" bestFit="1" customWidth="1"/>
    <col min="2822" max="3072" width="9.140625" style="10"/>
    <col min="3073" max="3073" width="34.28515625" style="10" bestFit="1" customWidth="1"/>
    <col min="3074" max="3074" width="12.7109375" style="10" customWidth="1"/>
    <col min="3075" max="3075" width="12.140625" style="10" customWidth="1"/>
    <col min="3076" max="3076" width="13.7109375" style="10" customWidth="1"/>
    <col min="3077" max="3077" width="10.42578125" style="10" bestFit="1" customWidth="1"/>
    <col min="3078" max="3328" width="9.140625" style="10"/>
    <col min="3329" max="3329" width="34.28515625" style="10" bestFit="1" customWidth="1"/>
    <col min="3330" max="3330" width="12.7109375" style="10" customWidth="1"/>
    <col min="3331" max="3331" width="12.140625" style="10" customWidth="1"/>
    <col min="3332" max="3332" width="13.7109375" style="10" customWidth="1"/>
    <col min="3333" max="3333" width="10.42578125" style="10" bestFit="1" customWidth="1"/>
    <col min="3334" max="3584" width="9.140625" style="10"/>
    <col min="3585" max="3585" width="34.28515625" style="10" bestFit="1" customWidth="1"/>
    <col min="3586" max="3586" width="12.7109375" style="10" customWidth="1"/>
    <col min="3587" max="3587" width="12.140625" style="10" customWidth="1"/>
    <col min="3588" max="3588" width="13.7109375" style="10" customWidth="1"/>
    <col min="3589" max="3589" width="10.42578125" style="10" bestFit="1" customWidth="1"/>
    <col min="3590" max="3840" width="9.140625" style="10"/>
    <col min="3841" max="3841" width="34.28515625" style="10" bestFit="1" customWidth="1"/>
    <col min="3842" max="3842" width="12.7109375" style="10" customWidth="1"/>
    <col min="3843" max="3843" width="12.140625" style="10" customWidth="1"/>
    <col min="3844" max="3844" width="13.7109375" style="10" customWidth="1"/>
    <col min="3845" max="3845" width="10.42578125" style="10" bestFit="1" customWidth="1"/>
    <col min="3846" max="4096" width="9.140625" style="10"/>
    <col min="4097" max="4097" width="34.28515625" style="10" bestFit="1" customWidth="1"/>
    <col min="4098" max="4098" width="12.7109375" style="10" customWidth="1"/>
    <col min="4099" max="4099" width="12.140625" style="10" customWidth="1"/>
    <col min="4100" max="4100" width="13.7109375" style="10" customWidth="1"/>
    <col min="4101" max="4101" width="10.42578125" style="10" bestFit="1" customWidth="1"/>
    <col min="4102" max="4352" width="9.140625" style="10"/>
    <col min="4353" max="4353" width="34.28515625" style="10" bestFit="1" customWidth="1"/>
    <col min="4354" max="4354" width="12.7109375" style="10" customWidth="1"/>
    <col min="4355" max="4355" width="12.140625" style="10" customWidth="1"/>
    <col min="4356" max="4356" width="13.7109375" style="10" customWidth="1"/>
    <col min="4357" max="4357" width="10.42578125" style="10" bestFit="1" customWidth="1"/>
    <col min="4358" max="4608" width="9.140625" style="10"/>
    <col min="4609" max="4609" width="34.28515625" style="10" bestFit="1" customWidth="1"/>
    <col min="4610" max="4610" width="12.7109375" style="10" customWidth="1"/>
    <col min="4611" max="4611" width="12.140625" style="10" customWidth="1"/>
    <col min="4612" max="4612" width="13.7109375" style="10" customWidth="1"/>
    <col min="4613" max="4613" width="10.42578125" style="10" bestFit="1" customWidth="1"/>
    <col min="4614" max="4864" width="9.140625" style="10"/>
    <col min="4865" max="4865" width="34.28515625" style="10" bestFit="1" customWidth="1"/>
    <col min="4866" max="4866" width="12.7109375" style="10" customWidth="1"/>
    <col min="4867" max="4867" width="12.140625" style="10" customWidth="1"/>
    <col min="4868" max="4868" width="13.7109375" style="10" customWidth="1"/>
    <col min="4869" max="4869" width="10.42578125" style="10" bestFit="1" customWidth="1"/>
    <col min="4870" max="5120" width="9.140625" style="10"/>
    <col min="5121" max="5121" width="34.28515625" style="10" bestFit="1" customWidth="1"/>
    <col min="5122" max="5122" width="12.7109375" style="10" customWidth="1"/>
    <col min="5123" max="5123" width="12.140625" style="10" customWidth="1"/>
    <col min="5124" max="5124" width="13.7109375" style="10" customWidth="1"/>
    <col min="5125" max="5125" width="10.42578125" style="10" bestFit="1" customWidth="1"/>
    <col min="5126" max="5376" width="9.140625" style="10"/>
    <col min="5377" max="5377" width="34.28515625" style="10" bestFit="1" customWidth="1"/>
    <col min="5378" max="5378" width="12.7109375" style="10" customWidth="1"/>
    <col min="5379" max="5379" width="12.140625" style="10" customWidth="1"/>
    <col min="5380" max="5380" width="13.7109375" style="10" customWidth="1"/>
    <col min="5381" max="5381" width="10.42578125" style="10" bestFit="1" customWidth="1"/>
    <col min="5382" max="5632" width="9.140625" style="10"/>
    <col min="5633" max="5633" width="34.28515625" style="10" bestFit="1" customWidth="1"/>
    <col min="5634" max="5634" width="12.7109375" style="10" customWidth="1"/>
    <col min="5635" max="5635" width="12.140625" style="10" customWidth="1"/>
    <col min="5636" max="5636" width="13.7109375" style="10" customWidth="1"/>
    <col min="5637" max="5637" width="10.42578125" style="10" bestFit="1" customWidth="1"/>
    <col min="5638" max="5888" width="9.140625" style="10"/>
    <col min="5889" max="5889" width="34.28515625" style="10" bestFit="1" customWidth="1"/>
    <col min="5890" max="5890" width="12.7109375" style="10" customWidth="1"/>
    <col min="5891" max="5891" width="12.140625" style="10" customWidth="1"/>
    <col min="5892" max="5892" width="13.7109375" style="10" customWidth="1"/>
    <col min="5893" max="5893" width="10.42578125" style="10" bestFit="1" customWidth="1"/>
    <col min="5894" max="6144" width="9.140625" style="10"/>
    <col min="6145" max="6145" width="34.28515625" style="10" bestFit="1" customWidth="1"/>
    <col min="6146" max="6146" width="12.7109375" style="10" customWidth="1"/>
    <col min="6147" max="6147" width="12.140625" style="10" customWidth="1"/>
    <col min="6148" max="6148" width="13.7109375" style="10" customWidth="1"/>
    <col min="6149" max="6149" width="10.42578125" style="10" bestFit="1" customWidth="1"/>
    <col min="6150" max="6400" width="9.140625" style="10"/>
    <col min="6401" max="6401" width="34.28515625" style="10" bestFit="1" customWidth="1"/>
    <col min="6402" max="6402" width="12.7109375" style="10" customWidth="1"/>
    <col min="6403" max="6403" width="12.140625" style="10" customWidth="1"/>
    <col min="6404" max="6404" width="13.7109375" style="10" customWidth="1"/>
    <col min="6405" max="6405" width="10.42578125" style="10" bestFit="1" customWidth="1"/>
    <col min="6406" max="6656" width="9.140625" style="10"/>
    <col min="6657" max="6657" width="34.28515625" style="10" bestFit="1" customWidth="1"/>
    <col min="6658" max="6658" width="12.7109375" style="10" customWidth="1"/>
    <col min="6659" max="6659" width="12.140625" style="10" customWidth="1"/>
    <col min="6660" max="6660" width="13.7109375" style="10" customWidth="1"/>
    <col min="6661" max="6661" width="10.42578125" style="10" bestFit="1" customWidth="1"/>
    <col min="6662" max="6912" width="9.140625" style="10"/>
    <col min="6913" max="6913" width="34.28515625" style="10" bestFit="1" customWidth="1"/>
    <col min="6914" max="6914" width="12.7109375" style="10" customWidth="1"/>
    <col min="6915" max="6915" width="12.140625" style="10" customWidth="1"/>
    <col min="6916" max="6916" width="13.7109375" style="10" customWidth="1"/>
    <col min="6917" max="6917" width="10.42578125" style="10" bestFit="1" customWidth="1"/>
    <col min="6918" max="7168" width="9.140625" style="10"/>
    <col min="7169" max="7169" width="34.28515625" style="10" bestFit="1" customWidth="1"/>
    <col min="7170" max="7170" width="12.7109375" style="10" customWidth="1"/>
    <col min="7171" max="7171" width="12.140625" style="10" customWidth="1"/>
    <col min="7172" max="7172" width="13.7109375" style="10" customWidth="1"/>
    <col min="7173" max="7173" width="10.42578125" style="10" bestFit="1" customWidth="1"/>
    <col min="7174" max="7424" width="9.140625" style="10"/>
    <col min="7425" max="7425" width="34.28515625" style="10" bestFit="1" customWidth="1"/>
    <col min="7426" max="7426" width="12.7109375" style="10" customWidth="1"/>
    <col min="7427" max="7427" width="12.140625" style="10" customWidth="1"/>
    <col min="7428" max="7428" width="13.7109375" style="10" customWidth="1"/>
    <col min="7429" max="7429" width="10.42578125" style="10" bestFit="1" customWidth="1"/>
    <col min="7430" max="7680" width="9.140625" style="10"/>
    <col min="7681" max="7681" width="34.28515625" style="10" bestFit="1" customWidth="1"/>
    <col min="7682" max="7682" width="12.7109375" style="10" customWidth="1"/>
    <col min="7683" max="7683" width="12.140625" style="10" customWidth="1"/>
    <col min="7684" max="7684" width="13.7109375" style="10" customWidth="1"/>
    <col min="7685" max="7685" width="10.42578125" style="10" bestFit="1" customWidth="1"/>
    <col min="7686" max="7936" width="9.140625" style="10"/>
    <col min="7937" max="7937" width="34.28515625" style="10" bestFit="1" customWidth="1"/>
    <col min="7938" max="7938" width="12.7109375" style="10" customWidth="1"/>
    <col min="7939" max="7939" width="12.140625" style="10" customWidth="1"/>
    <col min="7940" max="7940" width="13.7109375" style="10" customWidth="1"/>
    <col min="7941" max="7941" width="10.42578125" style="10" bestFit="1" customWidth="1"/>
    <col min="7942" max="8192" width="9.140625" style="10"/>
    <col min="8193" max="8193" width="34.28515625" style="10" bestFit="1" customWidth="1"/>
    <col min="8194" max="8194" width="12.7109375" style="10" customWidth="1"/>
    <col min="8195" max="8195" width="12.140625" style="10" customWidth="1"/>
    <col min="8196" max="8196" width="13.7109375" style="10" customWidth="1"/>
    <col min="8197" max="8197" width="10.42578125" style="10" bestFit="1" customWidth="1"/>
    <col min="8198" max="8448" width="9.140625" style="10"/>
    <col min="8449" max="8449" width="34.28515625" style="10" bestFit="1" customWidth="1"/>
    <col min="8450" max="8450" width="12.7109375" style="10" customWidth="1"/>
    <col min="8451" max="8451" width="12.140625" style="10" customWidth="1"/>
    <col min="8452" max="8452" width="13.7109375" style="10" customWidth="1"/>
    <col min="8453" max="8453" width="10.42578125" style="10" bestFit="1" customWidth="1"/>
    <col min="8454" max="8704" width="9.140625" style="10"/>
    <col min="8705" max="8705" width="34.28515625" style="10" bestFit="1" customWidth="1"/>
    <col min="8706" max="8706" width="12.7109375" style="10" customWidth="1"/>
    <col min="8707" max="8707" width="12.140625" style="10" customWidth="1"/>
    <col min="8708" max="8708" width="13.7109375" style="10" customWidth="1"/>
    <col min="8709" max="8709" width="10.42578125" style="10" bestFit="1" customWidth="1"/>
    <col min="8710" max="8960" width="9.140625" style="10"/>
    <col min="8961" max="8961" width="34.28515625" style="10" bestFit="1" customWidth="1"/>
    <col min="8962" max="8962" width="12.7109375" style="10" customWidth="1"/>
    <col min="8963" max="8963" width="12.140625" style="10" customWidth="1"/>
    <col min="8964" max="8964" width="13.7109375" style="10" customWidth="1"/>
    <col min="8965" max="8965" width="10.42578125" style="10" bestFit="1" customWidth="1"/>
    <col min="8966" max="9216" width="9.140625" style="10"/>
    <col min="9217" max="9217" width="34.28515625" style="10" bestFit="1" customWidth="1"/>
    <col min="9218" max="9218" width="12.7109375" style="10" customWidth="1"/>
    <col min="9219" max="9219" width="12.140625" style="10" customWidth="1"/>
    <col min="9220" max="9220" width="13.7109375" style="10" customWidth="1"/>
    <col min="9221" max="9221" width="10.42578125" style="10" bestFit="1" customWidth="1"/>
    <col min="9222" max="9472" width="9.140625" style="10"/>
    <col min="9473" max="9473" width="34.28515625" style="10" bestFit="1" customWidth="1"/>
    <col min="9474" max="9474" width="12.7109375" style="10" customWidth="1"/>
    <col min="9475" max="9475" width="12.140625" style="10" customWidth="1"/>
    <col min="9476" max="9476" width="13.7109375" style="10" customWidth="1"/>
    <col min="9477" max="9477" width="10.42578125" style="10" bestFit="1" customWidth="1"/>
    <col min="9478" max="9728" width="9.140625" style="10"/>
    <col min="9729" max="9729" width="34.28515625" style="10" bestFit="1" customWidth="1"/>
    <col min="9730" max="9730" width="12.7109375" style="10" customWidth="1"/>
    <col min="9731" max="9731" width="12.140625" style="10" customWidth="1"/>
    <col min="9732" max="9732" width="13.7109375" style="10" customWidth="1"/>
    <col min="9733" max="9733" width="10.42578125" style="10" bestFit="1" customWidth="1"/>
    <col min="9734" max="9984" width="9.140625" style="10"/>
    <col min="9985" max="9985" width="34.28515625" style="10" bestFit="1" customWidth="1"/>
    <col min="9986" max="9986" width="12.7109375" style="10" customWidth="1"/>
    <col min="9987" max="9987" width="12.140625" style="10" customWidth="1"/>
    <col min="9988" max="9988" width="13.7109375" style="10" customWidth="1"/>
    <col min="9989" max="9989" width="10.42578125" style="10" bestFit="1" customWidth="1"/>
    <col min="9990" max="10240" width="9.140625" style="10"/>
    <col min="10241" max="10241" width="34.28515625" style="10" bestFit="1" customWidth="1"/>
    <col min="10242" max="10242" width="12.7109375" style="10" customWidth="1"/>
    <col min="10243" max="10243" width="12.140625" style="10" customWidth="1"/>
    <col min="10244" max="10244" width="13.7109375" style="10" customWidth="1"/>
    <col min="10245" max="10245" width="10.42578125" style="10" bestFit="1" customWidth="1"/>
    <col min="10246" max="10496" width="9.140625" style="10"/>
    <col min="10497" max="10497" width="34.28515625" style="10" bestFit="1" customWidth="1"/>
    <col min="10498" max="10498" width="12.7109375" style="10" customWidth="1"/>
    <col min="10499" max="10499" width="12.140625" style="10" customWidth="1"/>
    <col min="10500" max="10500" width="13.7109375" style="10" customWidth="1"/>
    <col min="10501" max="10501" width="10.42578125" style="10" bestFit="1" customWidth="1"/>
    <col min="10502" max="10752" width="9.140625" style="10"/>
    <col min="10753" max="10753" width="34.28515625" style="10" bestFit="1" customWidth="1"/>
    <col min="10754" max="10754" width="12.7109375" style="10" customWidth="1"/>
    <col min="10755" max="10755" width="12.140625" style="10" customWidth="1"/>
    <col min="10756" max="10756" width="13.7109375" style="10" customWidth="1"/>
    <col min="10757" max="10757" width="10.42578125" style="10" bestFit="1" customWidth="1"/>
    <col min="10758" max="11008" width="9.140625" style="10"/>
    <col min="11009" max="11009" width="34.28515625" style="10" bestFit="1" customWidth="1"/>
    <col min="11010" max="11010" width="12.7109375" style="10" customWidth="1"/>
    <col min="11011" max="11011" width="12.140625" style="10" customWidth="1"/>
    <col min="11012" max="11012" width="13.7109375" style="10" customWidth="1"/>
    <col min="11013" max="11013" width="10.42578125" style="10" bestFit="1" customWidth="1"/>
    <col min="11014" max="11264" width="9.140625" style="10"/>
    <col min="11265" max="11265" width="34.28515625" style="10" bestFit="1" customWidth="1"/>
    <col min="11266" max="11266" width="12.7109375" style="10" customWidth="1"/>
    <col min="11267" max="11267" width="12.140625" style="10" customWidth="1"/>
    <col min="11268" max="11268" width="13.7109375" style="10" customWidth="1"/>
    <col min="11269" max="11269" width="10.42578125" style="10" bestFit="1" customWidth="1"/>
    <col min="11270" max="11520" width="9.140625" style="10"/>
    <col min="11521" max="11521" width="34.28515625" style="10" bestFit="1" customWidth="1"/>
    <col min="11522" max="11522" width="12.7109375" style="10" customWidth="1"/>
    <col min="11523" max="11523" width="12.140625" style="10" customWidth="1"/>
    <col min="11524" max="11524" width="13.7109375" style="10" customWidth="1"/>
    <col min="11525" max="11525" width="10.42578125" style="10" bestFit="1" customWidth="1"/>
    <col min="11526" max="11776" width="9.140625" style="10"/>
    <col min="11777" max="11777" width="34.28515625" style="10" bestFit="1" customWidth="1"/>
    <col min="11778" max="11778" width="12.7109375" style="10" customWidth="1"/>
    <col min="11779" max="11779" width="12.140625" style="10" customWidth="1"/>
    <col min="11780" max="11780" width="13.7109375" style="10" customWidth="1"/>
    <col min="11781" max="11781" width="10.42578125" style="10" bestFit="1" customWidth="1"/>
    <col min="11782" max="12032" width="9.140625" style="10"/>
    <col min="12033" max="12033" width="34.28515625" style="10" bestFit="1" customWidth="1"/>
    <col min="12034" max="12034" width="12.7109375" style="10" customWidth="1"/>
    <col min="12035" max="12035" width="12.140625" style="10" customWidth="1"/>
    <col min="12036" max="12036" width="13.7109375" style="10" customWidth="1"/>
    <col min="12037" max="12037" width="10.42578125" style="10" bestFit="1" customWidth="1"/>
    <col min="12038" max="12288" width="9.140625" style="10"/>
    <col min="12289" max="12289" width="34.28515625" style="10" bestFit="1" customWidth="1"/>
    <col min="12290" max="12290" width="12.7109375" style="10" customWidth="1"/>
    <col min="12291" max="12291" width="12.140625" style="10" customWidth="1"/>
    <col min="12292" max="12292" width="13.7109375" style="10" customWidth="1"/>
    <col min="12293" max="12293" width="10.42578125" style="10" bestFit="1" customWidth="1"/>
    <col min="12294" max="12544" width="9.140625" style="10"/>
    <col min="12545" max="12545" width="34.28515625" style="10" bestFit="1" customWidth="1"/>
    <col min="12546" max="12546" width="12.7109375" style="10" customWidth="1"/>
    <col min="12547" max="12547" width="12.140625" style="10" customWidth="1"/>
    <col min="12548" max="12548" width="13.7109375" style="10" customWidth="1"/>
    <col min="12549" max="12549" width="10.42578125" style="10" bestFit="1" customWidth="1"/>
    <col min="12550" max="12800" width="9.140625" style="10"/>
    <col min="12801" max="12801" width="34.28515625" style="10" bestFit="1" customWidth="1"/>
    <col min="12802" max="12802" width="12.7109375" style="10" customWidth="1"/>
    <col min="12803" max="12803" width="12.140625" style="10" customWidth="1"/>
    <col min="12804" max="12804" width="13.7109375" style="10" customWidth="1"/>
    <col min="12805" max="12805" width="10.42578125" style="10" bestFit="1" customWidth="1"/>
    <col min="12806" max="13056" width="9.140625" style="10"/>
    <col min="13057" max="13057" width="34.28515625" style="10" bestFit="1" customWidth="1"/>
    <col min="13058" max="13058" width="12.7109375" style="10" customWidth="1"/>
    <col min="13059" max="13059" width="12.140625" style="10" customWidth="1"/>
    <col min="13060" max="13060" width="13.7109375" style="10" customWidth="1"/>
    <col min="13061" max="13061" width="10.42578125" style="10" bestFit="1" customWidth="1"/>
    <col min="13062" max="13312" width="9.140625" style="10"/>
    <col min="13313" max="13313" width="34.28515625" style="10" bestFit="1" customWidth="1"/>
    <col min="13314" max="13314" width="12.7109375" style="10" customWidth="1"/>
    <col min="13315" max="13315" width="12.140625" style="10" customWidth="1"/>
    <col min="13316" max="13316" width="13.7109375" style="10" customWidth="1"/>
    <col min="13317" max="13317" width="10.42578125" style="10" bestFit="1" customWidth="1"/>
    <col min="13318" max="13568" width="9.140625" style="10"/>
    <col min="13569" max="13569" width="34.28515625" style="10" bestFit="1" customWidth="1"/>
    <col min="13570" max="13570" width="12.7109375" style="10" customWidth="1"/>
    <col min="13571" max="13571" width="12.140625" style="10" customWidth="1"/>
    <col min="13572" max="13572" width="13.7109375" style="10" customWidth="1"/>
    <col min="13573" max="13573" width="10.42578125" style="10" bestFit="1" customWidth="1"/>
    <col min="13574" max="13824" width="9.140625" style="10"/>
    <col min="13825" max="13825" width="34.28515625" style="10" bestFit="1" customWidth="1"/>
    <col min="13826" max="13826" width="12.7109375" style="10" customWidth="1"/>
    <col min="13827" max="13827" width="12.140625" style="10" customWidth="1"/>
    <col min="13828" max="13828" width="13.7109375" style="10" customWidth="1"/>
    <col min="13829" max="13829" width="10.42578125" style="10" bestFit="1" customWidth="1"/>
    <col min="13830" max="14080" width="9.140625" style="10"/>
    <col min="14081" max="14081" width="34.28515625" style="10" bestFit="1" customWidth="1"/>
    <col min="14082" max="14082" width="12.7109375" style="10" customWidth="1"/>
    <col min="14083" max="14083" width="12.140625" style="10" customWidth="1"/>
    <col min="14084" max="14084" width="13.7109375" style="10" customWidth="1"/>
    <col min="14085" max="14085" width="10.42578125" style="10" bestFit="1" customWidth="1"/>
    <col min="14086" max="14336" width="9.140625" style="10"/>
    <col min="14337" max="14337" width="34.28515625" style="10" bestFit="1" customWidth="1"/>
    <col min="14338" max="14338" width="12.7109375" style="10" customWidth="1"/>
    <col min="14339" max="14339" width="12.140625" style="10" customWidth="1"/>
    <col min="14340" max="14340" width="13.7109375" style="10" customWidth="1"/>
    <col min="14341" max="14341" width="10.42578125" style="10" bestFit="1" customWidth="1"/>
    <col min="14342" max="14592" width="9.140625" style="10"/>
    <col min="14593" max="14593" width="34.28515625" style="10" bestFit="1" customWidth="1"/>
    <col min="14594" max="14594" width="12.7109375" style="10" customWidth="1"/>
    <col min="14595" max="14595" width="12.140625" style="10" customWidth="1"/>
    <col min="14596" max="14596" width="13.7109375" style="10" customWidth="1"/>
    <col min="14597" max="14597" width="10.42578125" style="10" bestFit="1" customWidth="1"/>
    <col min="14598" max="14848" width="9.140625" style="10"/>
    <col min="14849" max="14849" width="34.28515625" style="10" bestFit="1" customWidth="1"/>
    <col min="14850" max="14850" width="12.7109375" style="10" customWidth="1"/>
    <col min="14851" max="14851" width="12.140625" style="10" customWidth="1"/>
    <col min="14852" max="14852" width="13.7109375" style="10" customWidth="1"/>
    <col min="14853" max="14853" width="10.42578125" style="10" bestFit="1" customWidth="1"/>
    <col min="14854" max="15104" width="9.140625" style="10"/>
    <col min="15105" max="15105" width="34.28515625" style="10" bestFit="1" customWidth="1"/>
    <col min="15106" max="15106" width="12.7109375" style="10" customWidth="1"/>
    <col min="15107" max="15107" width="12.140625" style="10" customWidth="1"/>
    <col min="15108" max="15108" width="13.7109375" style="10" customWidth="1"/>
    <col min="15109" max="15109" width="10.42578125" style="10" bestFit="1" customWidth="1"/>
    <col min="15110" max="15360" width="9.140625" style="10"/>
    <col min="15361" max="15361" width="34.28515625" style="10" bestFit="1" customWidth="1"/>
    <col min="15362" max="15362" width="12.7109375" style="10" customWidth="1"/>
    <col min="15363" max="15363" width="12.140625" style="10" customWidth="1"/>
    <col min="15364" max="15364" width="13.7109375" style="10" customWidth="1"/>
    <col min="15365" max="15365" width="10.42578125" style="10" bestFit="1" customWidth="1"/>
    <col min="15366" max="15616" width="9.140625" style="10"/>
    <col min="15617" max="15617" width="34.28515625" style="10" bestFit="1" customWidth="1"/>
    <col min="15618" max="15618" width="12.7109375" style="10" customWidth="1"/>
    <col min="15619" max="15619" width="12.140625" style="10" customWidth="1"/>
    <col min="15620" max="15620" width="13.7109375" style="10" customWidth="1"/>
    <col min="15621" max="15621" width="10.42578125" style="10" bestFit="1" customWidth="1"/>
    <col min="15622" max="15872" width="9.140625" style="10"/>
    <col min="15873" max="15873" width="34.28515625" style="10" bestFit="1" customWidth="1"/>
    <col min="15874" max="15874" width="12.7109375" style="10" customWidth="1"/>
    <col min="15875" max="15875" width="12.140625" style="10" customWidth="1"/>
    <col min="15876" max="15876" width="13.7109375" style="10" customWidth="1"/>
    <col min="15877" max="15877" width="10.42578125" style="10" bestFit="1" customWidth="1"/>
    <col min="15878" max="16128" width="9.140625" style="10"/>
    <col min="16129" max="16129" width="34.28515625" style="10" bestFit="1" customWidth="1"/>
    <col min="16130" max="16130" width="12.7109375" style="10" customWidth="1"/>
    <col min="16131" max="16131" width="12.140625" style="10" customWidth="1"/>
    <col min="16132" max="16132" width="13.7109375" style="10" customWidth="1"/>
    <col min="16133" max="16133" width="10.42578125" style="10" bestFit="1" customWidth="1"/>
    <col min="16134" max="16384" width="9.140625" style="10"/>
  </cols>
  <sheetData>
    <row r="1" spans="1:6" x14ac:dyDescent="0.25">
      <c r="A1" s="206" t="s">
        <v>163</v>
      </c>
      <c r="B1" s="207">
        <v>2013</v>
      </c>
      <c r="C1" s="207">
        <v>2012</v>
      </c>
      <c r="D1" s="105" t="s">
        <v>164</v>
      </c>
    </row>
    <row r="2" spans="1:6" x14ac:dyDescent="0.25">
      <c r="A2" s="206"/>
      <c r="B2" s="207"/>
      <c r="C2" s="207"/>
      <c r="D2" s="105" t="s">
        <v>165</v>
      </c>
    </row>
    <row r="3" spans="1:6" x14ac:dyDescent="0.25">
      <c r="A3" s="106" t="s">
        <v>166</v>
      </c>
      <c r="B3" s="107">
        <f>dados!B9</f>
        <v>372700</v>
      </c>
      <c r="C3" s="107">
        <f>dados!C9</f>
        <v>17000</v>
      </c>
      <c r="D3" s="107">
        <f>B3-C3</f>
        <v>355700</v>
      </c>
    </row>
    <row r="4" spans="1:6" x14ac:dyDescent="0.25">
      <c r="A4" s="108"/>
      <c r="B4" s="3"/>
      <c r="C4" s="3"/>
      <c r="D4" s="105"/>
    </row>
    <row r="5" spans="1:6" x14ac:dyDescent="0.25">
      <c r="A5" s="108" t="s">
        <v>167</v>
      </c>
      <c r="B5" s="187">
        <f>dados!B10+dados!B11+dados!B13+dados!B14</f>
        <v>12400.066352233218</v>
      </c>
      <c r="C5" s="187">
        <f>dados!C10+dados!C11+dados!C13+dados!C14</f>
        <v>7000</v>
      </c>
      <c r="D5" s="136">
        <f>B5-C5</f>
        <v>5400.0663522332179</v>
      </c>
      <c r="E5" s="128"/>
      <c r="F5" s="64"/>
    </row>
    <row r="6" spans="1:6" x14ac:dyDescent="0.25">
      <c r="A6" s="108" t="s">
        <v>215</v>
      </c>
      <c r="B6" s="135">
        <f>-1*(dados!G9+dados!G10+dados!G11+dados!G12+dados!G14)</f>
        <v>-20495.482559759294</v>
      </c>
      <c r="C6" s="135">
        <f>-1*(dados!H9+dados!H10+dados!H11+dados!H12+dados!H14)</f>
        <v>-7700</v>
      </c>
      <c r="D6" s="136">
        <f>B6-C6</f>
        <v>-12795.482559759294</v>
      </c>
      <c r="E6" s="137">
        <f>D6+D5</f>
        <v>-7395.4162075260756</v>
      </c>
    </row>
    <row r="7" spans="1:6" x14ac:dyDescent="0.25">
      <c r="A7" s="108"/>
      <c r="B7" s="136"/>
      <c r="C7" s="136"/>
      <c r="D7" s="138"/>
      <c r="E7" s="128"/>
      <c r="F7" s="64"/>
    </row>
    <row r="8" spans="1:6" x14ac:dyDescent="0.25">
      <c r="A8" s="109" t="s">
        <v>168</v>
      </c>
      <c r="B8" s="136"/>
      <c r="C8" s="136"/>
      <c r="D8" s="138"/>
      <c r="E8" s="128"/>
    </row>
    <row r="9" spans="1:6" x14ac:dyDescent="0.25">
      <c r="A9" s="110" t="s">
        <v>169</v>
      </c>
      <c r="B9" s="138"/>
      <c r="C9" s="138">
        <f>dados!C13+dados!C14</f>
        <v>0</v>
      </c>
      <c r="D9" s="136">
        <f>B9-C9</f>
        <v>0</v>
      </c>
      <c r="E9" s="128"/>
    </row>
    <row r="10" spans="1:6" x14ac:dyDescent="0.25">
      <c r="A10" s="110" t="s">
        <v>170</v>
      </c>
      <c r="B10" s="138">
        <f>dados!B15+dados!B21+dados!B22+dados!B23+dados!B24</f>
        <v>38000</v>
      </c>
      <c r="C10" s="138">
        <f>dados!C15+dados!C21+dados!C22+dados!C23+dados!C24</f>
        <v>44000</v>
      </c>
      <c r="D10" s="136">
        <f>B10-C10</f>
        <v>-6000</v>
      </c>
      <c r="E10" s="128"/>
    </row>
    <row r="11" spans="1:6" x14ac:dyDescent="0.25">
      <c r="A11" s="110" t="s">
        <v>171</v>
      </c>
      <c r="B11" s="138"/>
      <c r="C11" s="128"/>
      <c r="D11" s="138"/>
      <c r="E11" s="128"/>
    </row>
    <row r="12" spans="1:6" x14ac:dyDescent="0.25">
      <c r="A12" s="110"/>
      <c r="B12" s="136"/>
      <c r="C12" s="136"/>
      <c r="D12" s="138"/>
      <c r="E12" s="128"/>
    </row>
    <row r="13" spans="1:6" x14ac:dyDescent="0.25">
      <c r="A13" s="109" t="s">
        <v>172</v>
      </c>
      <c r="B13" s="136"/>
      <c r="C13" s="136"/>
      <c r="D13" s="138"/>
      <c r="E13" s="128"/>
    </row>
    <row r="14" spans="1:6" x14ac:dyDescent="0.25">
      <c r="A14" s="108" t="s">
        <v>216</v>
      </c>
      <c r="B14" s="138">
        <f>-1*(dados!G13)</f>
        <v>-9863.6127617101356</v>
      </c>
      <c r="C14" s="138">
        <f>dados!H13</f>
        <v>0</v>
      </c>
      <c r="D14" s="136">
        <f>B14-C14</f>
        <v>-9863.6127617101356</v>
      </c>
      <c r="E14" s="128"/>
    </row>
    <row r="15" spans="1:6" x14ac:dyDescent="0.25">
      <c r="A15" s="108" t="s">
        <v>217</v>
      </c>
      <c r="B15" s="138">
        <f>-1*(dados!G19+dados!G21+dados!G23+dados!G24)</f>
        <v>-392740.97103076376</v>
      </c>
      <c r="C15" s="138">
        <f>-1*(dados!H19+dados!H21+dados!H23+dados!H24)</f>
        <v>-60300</v>
      </c>
      <c r="D15" s="136">
        <f>B15-C15</f>
        <v>-332440.97103076376</v>
      </c>
      <c r="E15" s="128"/>
    </row>
    <row r="16" spans="1:6" x14ac:dyDescent="0.25">
      <c r="A16" s="108" t="s">
        <v>218</v>
      </c>
      <c r="B16" s="139">
        <f>SUM(B3:B15)</f>
        <v>0</v>
      </c>
      <c r="C16" s="139">
        <f t="shared" ref="C16" si="0">SUM(C3:C15)</f>
        <v>0</v>
      </c>
      <c r="D16" s="139">
        <f>SUM(D3:D15)</f>
        <v>0</v>
      </c>
      <c r="E16" s="128"/>
    </row>
    <row r="23" spans="1:1" x14ac:dyDescent="0.25">
      <c r="A23" s="10" t="s">
        <v>173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topLeftCell="A23" zoomScale="160" zoomScaleNormal="160" workbookViewId="0">
      <selection activeCell="A36" sqref="A36"/>
    </sheetView>
  </sheetViews>
  <sheetFormatPr defaultRowHeight="15" x14ac:dyDescent="0.25"/>
  <cols>
    <col min="1" max="1" width="54" style="10" customWidth="1"/>
    <col min="2" max="3" width="11.7109375" style="102" bestFit="1" customWidth="1"/>
    <col min="4" max="4" width="11.140625" style="10" bestFit="1" customWidth="1"/>
    <col min="5" max="256" width="9.140625" style="10"/>
    <col min="257" max="257" width="54" style="10" customWidth="1"/>
    <col min="258" max="258" width="11.42578125" style="10" bestFit="1" customWidth="1"/>
    <col min="259" max="259" width="11.140625" style="10" bestFit="1" customWidth="1"/>
    <col min="260" max="260" width="10.7109375" style="10" bestFit="1" customWidth="1"/>
    <col min="261" max="512" width="9.140625" style="10"/>
    <col min="513" max="513" width="54" style="10" customWidth="1"/>
    <col min="514" max="514" width="11.42578125" style="10" bestFit="1" customWidth="1"/>
    <col min="515" max="515" width="11.140625" style="10" bestFit="1" customWidth="1"/>
    <col min="516" max="516" width="10.7109375" style="10" bestFit="1" customWidth="1"/>
    <col min="517" max="768" width="9.140625" style="10"/>
    <col min="769" max="769" width="54" style="10" customWidth="1"/>
    <col min="770" max="770" width="11.42578125" style="10" bestFit="1" customWidth="1"/>
    <col min="771" max="771" width="11.140625" style="10" bestFit="1" customWidth="1"/>
    <col min="772" max="772" width="10.7109375" style="10" bestFit="1" customWidth="1"/>
    <col min="773" max="1024" width="9.140625" style="10"/>
    <col min="1025" max="1025" width="54" style="10" customWidth="1"/>
    <col min="1026" max="1026" width="11.42578125" style="10" bestFit="1" customWidth="1"/>
    <col min="1027" max="1027" width="11.140625" style="10" bestFit="1" customWidth="1"/>
    <col min="1028" max="1028" width="10.7109375" style="10" bestFit="1" customWidth="1"/>
    <col min="1029" max="1280" width="9.140625" style="10"/>
    <col min="1281" max="1281" width="54" style="10" customWidth="1"/>
    <col min="1282" max="1282" width="11.42578125" style="10" bestFit="1" customWidth="1"/>
    <col min="1283" max="1283" width="11.140625" style="10" bestFit="1" customWidth="1"/>
    <col min="1284" max="1284" width="10.7109375" style="10" bestFit="1" customWidth="1"/>
    <col min="1285" max="1536" width="9.140625" style="10"/>
    <col min="1537" max="1537" width="54" style="10" customWidth="1"/>
    <col min="1538" max="1538" width="11.42578125" style="10" bestFit="1" customWidth="1"/>
    <col min="1539" max="1539" width="11.140625" style="10" bestFit="1" customWidth="1"/>
    <col min="1540" max="1540" width="10.7109375" style="10" bestFit="1" customWidth="1"/>
    <col min="1541" max="1792" width="9.140625" style="10"/>
    <col min="1793" max="1793" width="54" style="10" customWidth="1"/>
    <col min="1794" max="1794" width="11.42578125" style="10" bestFit="1" customWidth="1"/>
    <col min="1795" max="1795" width="11.140625" style="10" bestFit="1" customWidth="1"/>
    <col min="1796" max="1796" width="10.7109375" style="10" bestFit="1" customWidth="1"/>
    <col min="1797" max="2048" width="9.140625" style="10"/>
    <col min="2049" max="2049" width="54" style="10" customWidth="1"/>
    <col min="2050" max="2050" width="11.42578125" style="10" bestFit="1" customWidth="1"/>
    <col min="2051" max="2051" width="11.140625" style="10" bestFit="1" customWidth="1"/>
    <col min="2052" max="2052" width="10.7109375" style="10" bestFit="1" customWidth="1"/>
    <col min="2053" max="2304" width="9.140625" style="10"/>
    <col min="2305" max="2305" width="54" style="10" customWidth="1"/>
    <col min="2306" max="2306" width="11.42578125" style="10" bestFit="1" customWidth="1"/>
    <col min="2307" max="2307" width="11.140625" style="10" bestFit="1" customWidth="1"/>
    <col min="2308" max="2308" width="10.7109375" style="10" bestFit="1" customWidth="1"/>
    <col min="2309" max="2560" width="9.140625" style="10"/>
    <col min="2561" max="2561" width="54" style="10" customWidth="1"/>
    <col min="2562" max="2562" width="11.42578125" style="10" bestFit="1" customWidth="1"/>
    <col min="2563" max="2563" width="11.140625" style="10" bestFit="1" customWidth="1"/>
    <col min="2564" max="2564" width="10.7109375" style="10" bestFit="1" customWidth="1"/>
    <col min="2565" max="2816" width="9.140625" style="10"/>
    <col min="2817" max="2817" width="54" style="10" customWidth="1"/>
    <col min="2818" max="2818" width="11.42578125" style="10" bestFit="1" customWidth="1"/>
    <col min="2819" max="2819" width="11.140625" style="10" bestFit="1" customWidth="1"/>
    <col min="2820" max="2820" width="10.7109375" style="10" bestFit="1" customWidth="1"/>
    <col min="2821" max="3072" width="9.140625" style="10"/>
    <col min="3073" max="3073" width="54" style="10" customWidth="1"/>
    <col min="3074" max="3074" width="11.42578125" style="10" bestFit="1" customWidth="1"/>
    <col min="3075" max="3075" width="11.140625" style="10" bestFit="1" customWidth="1"/>
    <col min="3076" max="3076" width="10.7109375" style="10" bestFit="1" customWidth="1"/>
    <col min="3077" max="3328" width="9.140625" style="10"/>
    <col min="3329" max="3329" width="54" style="10" customWidth="1"/>
    <col min="3330" max="3330" width="11.42578125" style="10" bestFit="1" customWidth="1"/>
    <col min="3331" max="3331" width="11.140625" style="10" bestFit="1" customWidth="1"/>
    <col min="3332" max="3332" width="10.7109375" style="10" bestFit="1" customWidth="1"/>
    <col min="3333" max="3584" width="9.140625" style="10"/>
    <col min="3585" max="3585" width="54" style="10" customWidth="1"/>
    <col min="3586" max="3586" width="11.42578125" style="10" bestFit="1" customWidth="1"/>
    <col min="3587" max="3587" width="11.140625" style="10" bestFit="1" customWidth="1"/>
    <col min="3588" max="3588" width="10.7109375" style="10" bestFit="1" customWidth="1"/>
    <col min="3589" max="3840" width="9.140625" style="10"/>
    <col min="3841" max="3841" width="54" style="10" customWidth="1"/>
    <col min="3842" max="3842" width="11.42578125" style="10" bestFit="1" customWidth="1"/>
    <col min="3843" max="3843" width="11.140625" style="10" bestFit="1" customWidth="1"/>
    <col min="3844" max="3844" width="10.7109375" style="10" bestFit="1" customWidth="1"/>
    <col min="3845" max="4096" width="9.140625" style="10"/>
    <col min="4097" max="4097" width="54" style="10" customWidth="1"/>
    <col min="4098" max="4098" width="11.42578125" style="10" bestFit="1" customWidth="1"/>
    <col min="4099" max="4099" width="11.140625" style="10" bestFit="1" customWidth="1"/>
    <col min="4100" max="4100" width="10.7109375" style="10" bestFit="1" customWidth="1"/>
    <col min="4101" max="4352" width="9.140625" style="10"/>
    <col min="4353" max="4353" width="54" style="10" customWidth="1"/>
    <col min="4354" max="4354" width="11.42578125" style="10" bestFit="1" customWidth="1"/>
    <col min="4355" max="4355" width="11.140625" style="10" bestFit="1" customWidth="1"/>
    <col min="4356" max="4356" width="10.7109375" style="10" bestFit="1" customWidth="1"/>
    <col min="4357" max="4608" width="9.140625" style="10"/>
    <col min="4609" max="4609" width="54" style="10" customWidth="1"/>
    <col min="4610" max="4610" width="11.42578125" style="10" bestFit="1" customWidth="1"/>
    <col min="4611" max="4611" width="11.140625" style="10" bestFit="1" customWidth="1"/>
    <col min="4612" max="4612" width="10.7109375" style="10" bestFit="1" customWidth="1"/>
    <col min="4613" max="4864" width="9.140625" style="10"/>
    <col min="4865" max="4865" width="54" style="10" customWidth="1"/>
    <col min="4866" max="4866" width="11.42578125" style="10" bestFit="1" customWidth="1"/>
    <col min="4867" max="4867" width="11.140625" style="10" bestFit="1" customWidth="1"/>
    <col min="4868" max="4868" width="10.7109375" style="10" bestFit="1" customWidth="1"/>
    <col min="4869" max="5120" width="9.140625" style="10"/>
    <col min="5121" max="5121" width="54" style="10" customWidth="1"/>
    <col min="5122" max="5122" width="11.42578125" style="10" bestFit="1" customWidth="1"/>
    <col min="5123" max="5123" width="11.140625" style="10" bestFit="1" customWidth="1"/>
    <col min="5124" max="5124" width="10.7109375" style="10" bestFit="1" customWidth="1"/>
    <col min="5125" max="5376" width="9.140625" style="10"/>
    <col min="5377" max="5377" width="54" style="10" customWidth="1"/>
    <col min="5378" max="5378" width="11.42578125" style="10" bestFit="1" customWidth="1"/>
    <col min="5379" max="5379" width="11.140625" style="10" bestFit="1" customWidth="1"/>
    <col min="5380" max="5380" width="10.7109375" style="10" bestFit="1" customWidth="1"/>
    <col min="5381" max="5632" width="9.140625" style="10"/>
    <col min="5633" max="5633" width="54" style="10" customWidth="1"/>
    <col min="5634" max="5634" width="11.42578125" style="10" bestFit="1" customWidth="1"/>
    <col min="5635" max="5635" width="11.140625" style="10" bestFit="1" customWidth="1"/>
    <col min="5636" max="5636" width="10.7109375" style="10" bestFit="1" customWidth="1"/>
    <col min="5637" max="5888" width="9.140625" style="10"/>
    <col min="5889" max="5889" width="54" style="10" customWidth="1"/>
    <col min="5890" max="5890" width="11.42578125" style="10" bestFit="1" customWidth="1"/>
    <col min="5891" max="5891" width="11.140625" style="10" bestFit="1" customWidth="1"/>
    <col min="5892" max="5892" width="10.7109375" style="10" bestFit="1" customWidth="1"/>
    <col min="5893" max="6144" width="9.140625" style="10"/>
    <col min="6145" max="6145" width="54" style="10" customWidth="1"/>
    <col min="6146" max="6146" width="11.42578125" style="10" bestFit="1" customWidth="1"/>
    <col min="6147" max="6147" width="11.140625" style="10" bestFit="1" customWidth="1"/>
    <col min="6148" max="6148" width="10.7109375" style="10" bestFit="1" customWidth="1"/>
    <col min="6149" max="6400" width="9.140625" style="10"/>
    <col min="6401" max="6401" width="54" style="10" customWidth="1"/>
    <col min="6402" max="6402" width="11.42578125" style="10" bestFit="1" customWidth="1"/>
    <col min="6403" max="6403" width="11.140625" style="10" bestFit="1" customWidth="1"/>
    <col min="6404" max="6404" width="10.7109375" style="10" bestFit="1" customWidth="1"/>
    <col min="6405" max="6656" width="9.140625" style="10"/>
    <col min="6657" max="6657" width="54" style="10" customWidth="1"/>
    <col min="6658" max="6658" width="11.42578125" style="10" bestFit="1" customWidth="1"/>
    <col min="6659" max="6659" width="11.140625" style="10" bestFit="1" customWidth="1"/>
    <col min="6660" max="6660" width="10.7109375" style="10" bestFit="1" customWidth="1"/>
    <col min="6661" max="6912" width="9.140625" style="10"/>
    <col min="6913" max="6913" width="54" style="10" customWidth="1"/>
    <col min="6914" max="6914" width="11.42578125" style="10" bestFit="1" customWidth="1"/>
    <col min="6915" max="6915" width="11.140625" style="10" bestFit="1" customWidth="1"/>
    <col min="6916" max="6916" width="10.7109375" style="10" bestFit="1" customWidth="1"/>
    <col min="6917" max="7168" width="9.140625" style="10"/>
    <col min="7169" max="7169" width="54" style="10" customWidth="1"/>
    <col min="7170" max="7170" width="11.42578125" style="10" bestFit="1" customWidth="1"/>
    <col min="7171" max="7171" width="11.140625" style="10" bestFit="1" customWidth="1"/>
    <col min="7172" max="7172" width="10.7109375" style="10" bestFit="1" customWidth="1"/>
    <col min="7173" max="7424" width="9.140625" style="10"/>
    <col min="7425" max="7425" width="54" style="10" customWidth="1"/>
    <col min="7426" max="7426" width="11.42578125" style="10" bestFit="1" customWidth="1"/>
    <col min="7427" max="7427" width="11.140625" style="10" bestFit="1" customWidth="1"/>
    <col min="7428" max="7428" width="10.7109375" style="10" bestFit="1" customWidth="1"/>
    <col min="7429" max="7680" width="9.140625" style="10"/>
    <col min="7681" max="7681" width="54" style="10" customWidth="1"/>
    <col min="7682" max="7682" width="11.42578125" style="10" bestFit="1" customWidth="1"/>
    <col min="7683" max="7683" width="11.140625" style="10" bestFit="1" customWidth="1"/>
    <col min="7684" max="7684" width="10.7109375" style="10" bestFit="1" customWidth="1"/>
    <col min="7685" max="7936" width="9.140625" style="10"/>
    <col min="7937" max="7937" width="54" style="10" customWidth="1"/>
    <col min="7938" max="7938" width="11.42578125" style="10" bestFit="1" customWidth="1"/>
    <col min="7939" max="7939" width="11.140625" style="10" bestFit="1" customWidth="1"/>
    <col min="7940" max="7940" width="10.7109375" style="10" bestFit="1" customWidth="1"/>
    <col min="7941" max="8192" width="9.140625" style="10"/>
    <col min="8193" max="8193" width="54" style="10" customWidth="1"/>
    <col min="8194" max="8194" width="11.42578125" style="10" bestFit="1" customWidth="1"/>
    <col min="8195" max="8195" width="11.140625" style="10" bestFit="1" customWidth="1"/>
    <col min="8196" max="8196" width="10.7109375" style="10" bestFit="1" customWidth="1"/>
    <col min="8197" max="8448" width="9.140625" style="10"/>
    <col min="8449" max="8449" width="54" style="10" customWidth="1"/>
    <col min="8450" max="8450" width="11.42578125" style="10" bestFit="1" customWidth="1"/>
    <col min="8451" max="8451" width="11.140625" style="10" bestFit="1" customWidth="1"/>
    <col min="8452" max="8452" width="10.7109375" style="10" bestFit="1" customWidth="1"/>
    <col min="8453" max="8704" width="9.140625" style="10"/>
    <col min="8705" max="8705" width="54" style="10" customWidth="1"/>
    <col min="8706" max="8706" width="11.42578125" style="10" bestFit="1" customWidth="1"/>
    <col min="8707" max="8707" width="11.140625" style="10" bestFit="1" customWidth="1"/>
    <col min="8708" max="8708" width="10.7109375" style="10" bestFit="1" customWidth="1"/>
    <col min="8709" max="8960" width="9.140625" style="10"/>
    <col min="8961" max="8961" width="54" style="10" customWidth="1"/>
    <col min="8962" max="8962" width="11.42578125" style="10" bestFit="1" customWidth="1"/>
    <col min="8963" max="8963" width="11.140625" style="10" bestFit="1" customWidth="1"/>
    <col min="8964" max="8964" width="10.7109375" style="10" bestFit="1" customWidth="1"/>
    <col min="8965" max="9216" width="9.140625" style="10"/>
    <col min="9217" max="9217" width="54" style="10" customWidth="1"/>
    <col min="9218" max="9218" width="11.42578125" style="10" bestFit="1" customWidth="1"/>
    <col min="9219" max="9219" width="11.140625" style="10" bestFit="1" customWidth="1"/>
    <col min="9220" max="9220" width="10.7109375" style="10" bestFit="1" customWidth="1"/>
    <col min="9221" max="9472" width="9.140625" style="10"/>
    <col min="9473" max="9473" width="54" style="10" customWidth="1"/>
    <col min="9474" max="9474" width="11.42578125" style="10" bestFit="1" customWidth="1"/>
    <col min="9475" max="9475" width="11.140625" style="10" bestFit="1" customWidth="1"/>
    <col min="9476" max="9476" width="10.7109375" style="10" bestFit="1" customWidth="1"/>
    <col min="9477" max="9728" width="9.140625" style="10"/>
    <col min="9729" max="9729" width="54" style="10" customWidth="1"/>
    <col min="9730" max="9730" width="11.42578125" style="10" bestFit="1" customWidth="1"/>
    <col min="9731" max="9731" width="11.140625" style="10" bestFit="1" customWidth="1"/>
    <col min="9732" max="9732" width="10.7109375" style="10" bestFit="1" customWidth="1"/>
    <col min="9733" max="9984" width="9.140625" style="10"/>
    <col min="9985" max="9985" width="54" style="10" customWidth="1"/>
    <col min="9986" max="9986" width="11.42578125" style="10" bestFit="1" customWidth="1"/>
    <col min="9987" max="9987" width="11.140625" style="10" bestFit="1" customWidth="1"/>
    <col min="9988" max="9988" width="10.7109375" style="10" bestFit="1" customWidth="1"/>
    <col min="9989" max="10240" width="9.140625" style="10"/>
    <col min="10241" max="10241" width="54" style="10" customWidth="1"/>
    <col min="10242" max="10242" width="11.42578125" style="10" bestFit="1" customWidth="1"/>
    <col min="10243" max="10243" width="11.140625" style="10" bestFit="1" customWidth="1"/>
    <col min="10244" max="10244" width="10.7109375" style="10" bestFit="1" customWidth="1"/>
    <col min="10245" max="10496" width="9.140625" style="10"/>
    <col min="10497" max="10497" width="54" style="10" customWidth="1"/>
    <col min="10498" max="10498" width="11.42578125" style="10" bestFit="1" customWidth="1"/>
    <col min="10499" max="10499" width="11.140625" style="10" bestFit="1" customWidth="1"/>
    <col min="10500" max="10500" width="10.7109375" style="10" bestFit="1" customWidth="1"/>
    <col min="10501" max="10752" width="9.140625" style="10"/>
    <col min="10753" max="10753" width="54" style="10" customWidth="1"/>
    <col min="10754" max="10754" width="11.42578125" style="10" bestFit="1" customWidth="1"/>
    <col min="10755" max="10755" width="11.140625" style="10" bestFit="1" customWidth="1"/>
    <col min="10756" max="10756" width="10.7109375" style="10" bestFit="1" customWidth="1"/>
    <col min="10757" max="11008" width="9.140625" style="10"/>
    <col min="11009" max="11009" width="54" style="10" customWidth="1"/>
    <col min="11010" max="11010" width="11.42578125" style="10" bestFit="1" customWidth="1"/>
    <col min="11011" max="11011" width="11.140625" style="10" bestFit="1" customWidth="1"/>
    <col min="11012" max="11012" width="10.7109375" style="10" bestFit="1" customWidth="1"/>
    <col min="11013" max="11264" width="9.140625" style="10"/>
    <col min="11265" max="11265" width="54" style="10" customWidth="1"/>
    <col min="11266" max="11266" width="11.42578125" style="10" bestFit="1" customWidth="1"/>
    <col min="11267" max="11267" width="11.140625" style="10" bestFit="1" customWidth="1"/>
    <col min="11268" max="11268" width="10.7109375" style="10" bestFit="1" customWidth="1"/>
    <col min="11269" max="11520" width="9.140625" style="10"/>
    <col min="11521" max="11521" width="54" style="10" customWidth="1"/>
    <col min="11522" max="11522" width="11.42578125" style="10" bestFit="1" customWidth="1"/>
    <col min="11523" max="11523" width="11.140625" style="10" bestFit="1" customWidth="1"/>
    <col min="11524" max="11524" width="10.7109375" style="10" bestFit="1" customWidth="1"/>
    <col min="11525" max="11776" width="9.140625" style="10"/>
    <col min="11777" max="11777" width="54" style="10" customWidth="1"/>
    <col min="11778" max="11778" width="11.42578125" style="10" bestFit="1" customWidth="1"/>
    <col min="11779" max="11779" width="11.140625" style="10" bestFit="1" customWidth="1"/>
    <col min="11780" max="11780" width="10.7109375" style="10" bestFit="1" customWidth="1"/>
    <col min="11781" max="12032" width="9.140625" style="10"/>
    <col min="12033" max="12033" width="54" style="10" customWidth="1"/>
    <col min="12034" max="12034" width="11.42578125" style="10" bestFit="1" customWidth="1"/>
    <col min="12035" max="12035" width="11.140625" style="10" bestFit="1" customWidth="1"/>
    <col min="12036" max="12036" width="10.7109375" style="10" bestFit="1" customWidth="1"/>
    <col min="12037" max="12288" width="9.140625" style="10"/>
    <col min="12289" max="12289" width="54" style="10" customWidth="1"/>
    <col min="12290" max="12290" width="11.42578125" style="10" bestFit="1" customWidth="1"/>
    <col min="12291" max="12291" width="11.140625" style="10" bestFit="1" customWidth="1"/>
    <col min="12292" max="12292" width="10.7109375" style="10" bestFit="1" customWidth="1"/>
    <col min="12293" max="12544" width="9.140625" style="10"/>
    <col min="12545" max="12545" width="54" style="10" customWidth="1"/>
    <col min="12546" max="12546" width="11.42578125" style="10" bestFit="1" customWidth="1"/>
    <col min="12547" max="12547" width="11.140625" style="10" bestFit="1" customWidth="1"/>
    <col min="12548" max="12548" width="10.7109375" style="10" bestFit="1" customWidth="1"/>
    <col min="12549" max="12800" width="9.140625" style="10"/>
    <col min="12801" max="12801" width="54" style="10" customWidth="1"/>
    <col min="12802" max="12802" width="11.42578125" style="10" bestFit="1" customWidth="1"/>
    <col min="12803" max="12803" width="11.140625" style="10" bestFit="1" customWidth="1"/>
    <col min="12804" max="12804" width="10.7109375" style="10" bestFit="1" customWidth="1"/>
    <col min="12805" max="13056" width="9.140625" style="10"/>
    <col min="13057" max="13057" width="54" style="10" customWidth="1"/>
    <col min="13058" max="13058" width="11.42578125" style="10" bestFit="1" customWidth="1"/>
    <col min="13059" max="13059" width="11.140625" style="10" bestFit="1" customWidth="1"/>
    <col min="13060" max="13060" width="10.7109375" style="10" bestFit="1" customWidth="1"/>
    <col min="13061" max="13312" width="9.140625" style="10"/>
    <col min="13313" max="13313" width="54" style="10" customWidth="1"/>
    <col min="13314" max="13314" width="11.42578125" style="10" bestFit="1" customWidth="1"/>
    <col min="13315" max="13315" width="11.140625" style="10" bestFit="1" customWidth="1"/>
    <col min="13316" max="13316" width="10.7109375" style="10" bestFit="1" customWidth="1"/>
    <col min="13317" max="13568" width="9.140625" style="10"/>
    <col min="13569" max="13569" width="54" style="10" customWidth="1"/>
    <col min="13570" max="13570" width="11.42578125" style="10" bestFit="1" customWidth="1"/>
    <col min="13571" max="13571" width="11.140625" style="10" bestFit="1" customWidth="1"/>
    <col min="13572" max="13572" width="10.7109375" style="10" bestFit="1" customWidth="1"/>
    <col min="13573" max="13824" width="9.140625" style="10"/>
    <col min="13825" max="13825" width="54" style="10" customWidth="1"/>
    <col min="13826" max="13826" width="11.42578125" style="10" bestFit="1" customWidth="1"/>
    <col min="13827" max="13827" width="11.140625" style="10" bestFit="1" customWidth="1"/>
    <col min="13828" max="13828" width="10.7109375" style="10" bestFit="1" customWidth="1"/>
    <col min="13829" max="14080" width="9.140625" style="10"/>
    <col min="14081" max="14081" width="54" style="10" customWidth="1"/>
    <col min="14082" max="14082" width="11.42578125" style="10" bestFit="1" customWidth="1"/>
    <col min="14083" max="14083" width="11.140625" style="10" bestFit="1" customWidth="1"/>
    <col min="14084" max="14084" width="10.7109375" style="10" bestFit="1" customWidth="1"/>
    <col min="14085" max="14336" width="9.140625" style="10"/>
    <col min="14337" max="14337" width="54" style="10" customWidth="1"/>
    <col min="14338" max="14338" width="11.42578125" style="10" bestFit="1" customWidth="1"/>
    <col min="14339" max="14339" width="11.140625" style="10" bestFit="1" customWidth="1"/>
    <col min="14340" max="14340" width="10.7109375" style="10" bestFit="1" customWidth="1"/>
    <col min="14341" max="14592" width="9.140625" style="10"/>
    <col min="14593" max="14593" width="54" style="10" customWidth="1"/>
    <col min="14594" max="14594" width="11.42578125" style="10" bestFit="1" customWidth="1"/>
    <col min="14595" max="14595" width="11.140625" style="10" bestFit="1" customWidth="1"/>
    <col min="14596" max="14596" width="10.7109375" style="10" bestFit="1" customWidth="1"/>
    <col min="14597" max="14848" width="9.140625" style="10"/>
    <col min="14849" max="14849" width="54" style="10" customWidth="1"/>
    <col min="14850" max="14850" width="11.42578125" style="10" bestFit="1" customWidth="1"/>
    <col min="14851" max="14851" width="11.140625" style="10" bestFit="1" customWidth="1"/>
    <col min="14852" max="14852" width="10.7109375" style="10" bestFit="1" customWidth="1"/>
    <col min="14853" max="15104" width="9.140625" style="10"/>
    <col min="15105" max="15105" width="54" style="10" customWidth="1"/>
    <col min="15106" max="15106" width="11.42578125" style="10" bestFit="1" customWidth="1"/>
    <col min="15107" max="15107" width="11.140625" style="10" bestFit="1" customWidth="1"/>
    <col min="15108" max="15108" width="10.7109375" style="10" bestFit="1" customWidth="1"/>
    <col min="15109" max="15360" width="9.140625" style="10"/>
    <col min="15361" max="15361" width="54" style="10" customWidth="1"/>
    <col min="15362" max="15362" width="11.42578125" style="10" bestFit="1" customWidth="1"/>
    <col min="15363" max="15363" width="11.140625" style="10" bestFit="1" customWidth="1"/>
    <col min="15364" max="15364" width="10.7109375" style="10" bestFit="1" customWidth="1"/>
    <col min="15365" max="15616" width="9.140625" style="10"/>
    <col min="15617" max="15617" width="54" style="10" customWidth="1"/>
    <col min="15618" max="15618" width="11.42578125" style="10" bestFit="1" customWidth="1"/>
    <col min="15619" max="15619" width="11.140625" style="10" bestFit="1" customWidth="1"/>
    <col min="15620" max="15620" width="10.7109375" style="10" bestFit="1" customWidth="1"/>
    <col min="15621" max="15872" width="9.140625" style="10"/>
    <col min="15873" max="15873" width="54" style="10" customWidth="1"/>
    <col min="15874" max="15874" width="11.42578125" style="10" bestFit="1" customWidth="1"/>
    <col min="15875" max="15875" width="11.140625" style="10" bestFit="1" customWidth="1"/>
    <col min="15876" max="15876" width="10.7109375" style="10" bestFit="1" customWidth="1"/>
    <col min="15877" max="16128" width="9.140625" style="10"/>
    <col min="16129" max="16129" width="54" style="10" customWidth="1"/>
    <col min="16130" max="16130" width="11.42578125" style="10" bestFit="1" customWidth="1"/>
    <col min="16131" max="16131" width="11.140625" style="10" bestFit="1" customWidth="1"/>
    <col min="16132" max="16132" width="10.7109375" style="10" bestFit="1" customWidth="1"/>
    <col min="16133" max="16384" width="9.140625" style="10"/>
  </cols>
  <sheetData>
    <row r="1" spans="1:5" x14ac:dyDescent="0.25">
      <c r="A1" s="111" t="s">
        <v>174</v>
      </c>
      <c r="B1" s="112" t="s">
        <v>175</v>
      </c>
      <c r="C1" s="113" t="s">
        <v>176</v>
      </c>
    </row>
    <row r="2" spans="1:5" x14ac:dyDescent="0.25">
      <c r="A2" s="106" t="s">
        <v>219</v>
      </c>
      <c r="B2" s="114"/>
      <c r="C2" s="115"/>
    </row>
    <row r="3" spans="1:5" x14ac:dyDescent="0.25">
      <c r="A3" s="116" t="s">
        <v>177</v>
      </c>
      <c r="B3" s="129">
        <f>dados!D10*-1</f>
        <v>2699.9336477667812</v>
      </c>
      <c r="C3" s="190"/>
    </row>
    <row r="4" spans="1:5" s="87" customFormat="1" x14ac:dyDescent="0.25">
      <c r="A4" s="117" t="s">
        <v>228</v>
      </c>
      <c r="B4" s="129"/>
      <c r="C4" s="131">
        <f>dados!D13+dados!D14</f>
        <v>10900</v>
      </c>
    </row>
    <row r="5" spans="1:5" x14ac:dyDescent="0.25">
      <c r="A5" s="116" t="s">
        <v>79</v>
      </c>
      <c r="B5" s="129">
        <f>-dados!D11</f>
        <v>2800</v>
      </c>
      <c r="C5" s="131"/>
      <c r="D5" s="81"/>
    </row>
    <row r="6" spans="1:5" x14ac:dyDescent="0.25">
      <c r="A6" s="116" t="s">
        <v>160</v>
      </c>
      <c r="B6" s="129"/>
      <c r="C6" s="131">
        <f>-dados!I10</f>
        <v>2100</v>
      </c>
      <c r="D6" s="81"/>
    </row>
    <row r="7" spans="1:5" x14ac:dyDescent="0.25">
      <c r="A7" s="116" t="s">
        <v>291</v>
      </c>
      <c r="B7" s="129"/>
      <c r="C7" s="131">
        <f>-dados!I9</f>
        <v>700</v>
      </c>
    </row>
    <row r="8" spans="1:5" x14ac:dyDescent="0.25">
      <c r="A8" s="116" t="s">
        <v>179</v>
      </c>
      <c r="B8" s="129">
        <f>dados!I14</f>
        <v>6681.0000000000009</v>
      </c>
      <c r="C8" s="131"/>
    </row>
    <row r="9" spans="1:5" x14ac:dyDescent="0.25">
      <c r="A9" s="116" t="s">
        <v>180</v>
      </c>
      <c r="B9" s="129">
        <f>dados!I12</f>
        <v>2359.7159717009895</v>
      </c>
      <c r="C9" s="131"/>
    </row>
    <row r="10" spans="1:5" x14ac:dyDescent="0.25">
      <c r="A10" s="116" t="s">
        <v>181</v>
      </c>
      <c r="B10" s="129">
        <f>dados!I11</f>
        <v>6554.7665880583045</v>
      </c>
      <c r="C10" s="131"/>
    </row>
    <row r="11" spans="1:5" x14ac:dyDescent="0.25">
      <c r="A11" s="116" t="s">
        <v>101</v>
      </c>
      <c r="B11" s="129"/>
      <c r="C11" s="131"/>
    </row>
    <row r="12" spans="1:5" x14ac:dyDescent="0.25">
      <c r="A12" s="118" t="s">
        <v>196</v>
      </c>
      <c r="B12" s="209">
        <f>SUM(B2:B11)-SUM(C2:C11)</f>
        <v>7395.4162075260756</v>
      </c>
      <c r="C12" s="210"/>
      <c r="D12" s="64">
        <f>B12+'FC PT 1 '!E6</f>
        <v>0</v>
      </c>
      <c r="E12" s="81"/>
    </row>
    <row r="13" spans="1:5" x14ac:dyDescent="0.25">
      <c r="A13" s="106" t="s">
        <v>220</v>
      </c>
      <c r="B13" s="129"/>
      <c r="C13" s="129"/>
    </row>
    <row r="14" spans="1:5" x14ac:dyDescent="0.25">
      <c r="A14" s="108" t="s">
        <v>182</v>
      </c>
      <c r="B14" s="129"/>
      <c r="C14" s="131"/>
    </row>
    <row r="15" spans="1:5" x14ac:dyDescent="0.25">
      <c r="A15" s="110" t="s">
        <v>183</v>
      </c>
      <c r="B15" s="190"/>
      <c r="C15" s="132">
        <f>dados!D15</f>
        <v>2000</v>
      </c>
    </row>
    <row r="16" spans="1:5" x14ac:dyDescent="0.25">
      <c r="A16" s="110" t="s">
        <v>184</v>
      </c>
      <c r="B16" s="133"/>
      <c r="C16" s="131"/>
    </row>
    <row r="17" spans="1:4" x14ac:dyDescent="0.25">
      <c r="A17" s="110" t="s">
        <v>185</v>
      </c>
      <c r="B17" s="133">
        <f>Lançamentos!B71</f>
        <v>2000</v>
      </c>
      <c r="C17" s="190"/>
    </row>
    <row r="18" spans="1:4" x14ac:dyDescent="0.25">
      <c r="A18" s="110" t="s">
        <v>186</v>
      </c>
      <c r="B18" s="129">
        <f>'DRE 2013'!F23</f>
        <v>5833.333333333333</v>
      </c>
      <c r="C18" s="132"/>
    </row>
    <row r="19" spans="1:4" x14ac:dyDescent="0.25">
      <c r="A19" s="110" t="s">
        <v>299</v>
      </c>
      <c r="B19" s="129">
        <f>'Controle do Imobilizado 2013'!B23</f>
        <v>166.66666666666697</v>
      </c>
      <c r="C19" s="132"/>
    </row>
    <row r="20" spans="1:4" x14ac:dyDescent="0.25">
      <c r="A20" s="119" t="s">
        <v>187</v>
      </c>
      <c r="B20" s="208">
        <f>SUM(B14:B19)-SUM(C14:C19)</f>
        <v>6000</v>
      </c>
      <c r="C20" s="208"/>
      <c r="D20" s="64">
        <f>B20+'FC PT 1 '!D10</f>
        <v>0</v>
      </c>
    </row>
    <row r="21" spans="1:4" x14ac:dyDescent="0.25">
      <c r="A21" s="108" t="s">
        <v>188</v>
      </c>
      <c r="B21" s="133"/>
      <c r="C21" s="132"/>
    </row>
    <row r="22" spans="1:4" x14ac:dyDescent="0.25">
      <c r="A22" s="110" t="s">
        <v>189</v>
      </c>
      <c r="B22" s="133"/>
      <c r="C22" s="132"/>
    </row>
    <row r="23" spans="1:4" x14ac:dyDescent="0.25">
      <c r="A23" s="110" t="s">
        <v>221</v>
      </c>
      <c r="B23" s="129"/>
      <c r="C23" s="132"/>
    </row>
    <row r="24" spans="1:4" x14ac:dyDescent="0.25">
      <c r="A24" s="120" t="s">
        <v>190</v>
      </c>
      <c r="B24" s="208">
        <v>0</v>
      </c>
      <c r="C24" s="208"/>
    </row>
    <row r="25" spans="1:4" x14ac:dyDescent="0.25">
      <c r="A25" s="106" t="s">
        <v>222</v>
      </c>
      <c r="B25" s="129"/>
      <c r="C25" s="131"/>
    </row>
    <row r="26" spans="1:4" x14ac:dyDescent="0.25">
      <c r="A26" s="111" t="s">
        <v>191</v>
      </c>
      <c r="B26" s="133"/>
      <c r="C26" s="132"/>
    </row>
    <row r="27" spans="1:4" x14ac:dyDescent="0.25">
      <c r="A27" s="108" t="s">
        <v>192</v>
      </c>
      <c r="B27" s="129">
        <f>dados!I13</f>
        <v>9863.6127617101356</v>
      </c>
      <c r="C27" s="132"/>
    </row>
    <row r="28" spans="1:4" x14ac:dyDescent="0.25">
      <c r="A28" s="108" t="s">
        <v>193</v>
      </c>
      <c r="B28" s="129"/>
      <c r="C28" s="132"/>
    </row>
    <row r="29" spans="1:4" x14ac:dyDescent="0.25">
      <c r="A29" s="121" t="s">
        <v>178</v>
      </c>
      <c r="B29" s="129"/>
      <c r="C29" s="132"/>
    </row>
    <row r="30" spans="1:4" x14ac:dyDescent="0.25">
      <c r="A30" s="108" t="s">
        <v>194</v>
      </c>
      <c r="B30" s="133"/>
      <c r="C30" s="131"/>
    </row>
    <row r="31" spans="1:4" x14ac:dyDescent="0.25">
      <c r="A31" s="108" t="s">
        <v>195</v>
      </c>
      <c r="B31" s="134"/>
      <c r="C31" s="132"/>
    </row>
    <row r="32" spans="1:4" x14ac:dyDescent="0.25">
      <c r="A32" s="120" t="s">
        <v>190</v>
      </c>
      <c r="B32" s="208">
        <f>SUM(B26:B31)-SUM(C26:C31)</f>
        <v>9863.6127617101356</v>
      </c>
      <c r="C32" s="208"/>
    </row>
    <row r="33" spans="1:4" x14ac:dyDescent="0.25">
      <c r="A33" s="111" t="s">
        <v>121</v>
      </c>
      <c r="B33" s="133"/>
      <c r="C33" s="132"/>
    </row>
    <row r="34" spans="1:4" x14ac:dyDescent="0.25">
      <c r="A34" s="191" t="s">
        <v>292</v>
      </c>
      <c r="B34" s="129">
        <f>dados!I19+dados!I21</f>
        <v>325000</v>
      </c>
      <c r="C34" s="132"/>
    </row>
    <row r="35" spans="1:4" x14ac:dyDescent="0.25">
      <c r="A35" s="108" t="s">
        <v>223</v>
      </c>
      <c r="B35" s="129">
        <f>'DMPL 2013'!H12</f>
        <v>17304.583792473924</v>
      </c>
      <c r="C35" s="132"/>
    </row>
    <row r="36" spans="1:4" x14ac:dyDescent="0.25">
      <c r="A36" s="108" t="s">
        <v>224</v>
      </c>
      <c r="B36" s="133"/>
      <c r="C36" s="131">
        <f>-'DMPL 2013'!H16</f>
        <v>9863.6127617101356</v>
      </c>
    </row>
    <row r="37" spans="1:4" x14ac:dyDescent="0.25">
      <c r="A37" s="120" t="s">
        <v>196</v>
      </c>
      <c r="B37" s="208">
        <f>SUM(B33:B36)-SUM(C33:C36)</f>
        <v>332440.97103076382</v>
      </c>
      <c r="C37" s="208"/>
    </row>
    <row r="38" spans="1:4" x14ac:dyDescent="0.25">
      <c r="A38" s="122" t="s">
        <v>225</v>
      </c>
      <c r="B38" s="208">
        <f>B12+B20+B24+B32+B37</f>
        <v>355700</v>
      </c>
      <c r="C38" s="208"/>
      <c r="D38" s="128">
        <f>B38-'FC PT 1 '!D3</f>
        <v>0</v>
      </c>
    </row>
  </sheetData>
  <mergeCells count="6">
    <mergeCell ref="B38:C38"/>
    <mergeCell ref="B12:C12"/>
    <mergeCell ref="B20:C20"/>
    <mergeCell ref="B24:C24"/>
    <mergeCell ref="B32:C32"/>
    <mergeCell ref="B37:C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</vt:i4>
      </vt:variant>
    </vt:vector>
  </HeadingPairs>
  <TitlesOfParts>
    <vt:vector size="13" baseType="lpstr">
      <vt:lpstr>DMPL 2013</vt:lpstr>
      <vt:lpstr>Lançamentos</vt:lpstr>
      <vt:lpstr>EST x2 Chocolate</vt:lpstr>
      <vt:lpstr>Ações </vt:lpstr>
      <vt:lpstr>Controle do Imobilizado 2013</vt:lpstr>
      <vt:lpstr>DRE 2013</vt:lpstr>
      <vt:lpstr>dados</vt:lpstr>
      <vt:lpstr>FC PT 1 </vt:lpstr>
      <vt:lpstr>FC PT 2 </vt:lpstr>
      <vt:lpstr>FC PT 3</vt:lpstr>
      <vt:lpstr>FC PT 4</vt:lpstr>
      <vt:lpstr>RESERVAS e DIVIDENDOS 2013</vt:lpstr>
      <vt:lpstr>dados!Area_de_impressao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Umbelina</cp:lastModifiedBy>
  <cp:lastPrinted>2014-01-17T16:27:27Z</cp:lastPrinted>
  <dcterms:created xsi:type="dcterms:W3CDTF">2013-01-30T13:18:05Z</dcterms:created>
  <dcterms:modified xsi:type="dcterms:W3CDTF">2014-05-28T14:47:57Z</dcterms:modified>
</cp:coreProperties>
</file>